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Y\Y\2026年物价\公示\医疗服务项目\"/>
    </mc:Choice>
  </mc:AlternateContent>
  <bookViews>
    <workbookView windowWidth="28800" windowHeight="12255" tabRatio="500"/>
  </bookViews>
  <sheets>
    <sheet name="公示" sheetId="1" r:id="rId1"/>
    <sheet name="Sheet1" sheetId="2" r:id="rId2"/>
  </sheets>
  <definedNames>
    <definedName name="_xlnm._FilterDatabase" localSheetId="0" hidden="1">公示!$A$4:$K$1047</definedName>
    <definedName name="_xlnm.Print_Titles" localSheetId="0">公示!$1:$3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<sst xmlns="http://schemas.openxmlformats.org/spreadsheetml/2006/main" count="5427" uniqueCount="2668">
  <si>
    <t>价格公示（2026年新增项目23号）</t>
  </si>
  <si>
    <t>各位患者朋友：</t>
  </si>
  <si>
    <t xml:space="preserve">   按照《川医保办发【2026】10号》、《川医保办发【2026】11号》文件的规定，现将我院新增医疗服务项目价格公示如下：</t>
  </si>
  <si>
    <t>序号</t>
  </si>
  <si>
    <t>项目编码</t>
  </si>
  <si>
    <t>项目名称</t>
  </si>
  <si>
    <t>服务产出</t>
  </si>
  <si>
    <t>价格构成</t>
  </si>
  <si>
    <t>加收项</t>
  </si>
  <si>
    <t>扩展项</t>
  </si>
  <si>
    <t>计价单位</t>
  </si>
  <si>
    <t>计价说明</t>
  </si>
  <si>
    <t>价格（元）</t>
  </si>
  <si>
    <t>医保支付类别</t>
  </si>
  <si>
    <t>上颌截骨内固定费（常规）</t>
  </si>
  <si>
    <t>通过手术对上颌骨进行截骨、重新定位并固定．</t>
  </si>
  <si>
    <t>所定价格涵盖手术计划、消毒、切开、截骨、移位、固定、缝合、处理用物等步骤所需的人力资源和基本物质资源消耗．</t>
  </si>
  <si>
    <t>单侧</t>
  </si>
  <si>
    <t>国家医学中心、国家临床重点专科价格上浮10%.</t>
  </si>
  <si>
    <t>甲类</t>
  </si>
  <si>
    <t>上颌截骨内固定费（常规）－儿童（加收）</t>
  </si>
  <si>
    <t>上颌截骨内固定费（复杂）</t>
  </si>
  <si>
    <t>通过手术对复杂情况的上颌骨进行截骨、重新定位并固定．</t>
  </si>
  <si>
    <t>本项目中的“复杂”指：指LefortII型截骨、LefortIII型截骨、分块截骨、陈旧性骨折、唇腮裂．</t>
  </si>
  <si>
    <t>上颌截骨内固定费（复杂）－儿童（加收）</t>
  </si>
  <si>
    <t>下颌截骨内固定费（常规）</t>
  </si>
  <si>
    <t>通过手术对下颌骨进行截骨、重新定位并固定．</t>
  </si>
  <si>
    <t>下颌截骨内固定费（常规）－儿童（加收）</t>
  </si>
  <si>
    <t>下颌截骨内固定费（复杂）</t>
  </si>
  <si>
    <t>通过手术对复杂情况的下颌骨进行截骨、重新定位并固定．</t>
  </si>
  <si>
    <t>本项目中的“复杂”指：下颌骨分块截骨、陈旧性骨折．</t>
  </si>
  <si>
    <t>下颌截骨内固定费（复杂）－儿童（加收）</t>
  </si>
  <si>
    <t>颏部截骨固定费</t>
  </si>
  <si>
    <t>通过手术对颏部进行截骨、重新定位并固定．</t>
  </si>
  <si>
    <t>所定价格涵盖手术计划、消毒、切开、分离、固定、缝合、处理用物等步骤所需的人力资源和基本物质资源消耗．</t>
  </si>
  <si>
    <t>次</t>
  </si>
  <si>
    <t>颏部截骨固定费－儿童（加收）</t>
  </si>
  <si>
    <t>颧骨颧弓截骨固定费</t>
  </si>
  <si>
    <t>通过手术对颧骨颧弓进行截骨、重新定位井固定．</t>
  </si>
  <si>
    <t>所定价格涵盖手术计划、消毒、切开、分离、骨骼磨削或截除、缝合、处理用物等步骤所需的人力资源和基本物质资源消耗．</t>
  </si>
  <si>
    <t>丙类</t>
  </si>
  <si>
    <t>颧骨颧弓截骨固定费－儿童（加收）</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</si>
  <si>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</si>
  <si>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</si>
  <si>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</si>
  <si>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</si>
  <si>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本项目中的”部位”指：左上颌、右上颌、左下颌、右下颌、左颧骨颧弓、右颧骨颧弓、左眼眶、右眼眶、颊部．</t>
  </si>
  <si>
    <t>乙类</t>
  </si>
  <si>
    <t>颌面部植骨费（颗粒骨）－儿童（加收）</t>
  </si>
  <si>
    <t>颌面部植骨费（块状骨）</t>
  </si>
  <si>
    <t>通过手术对口腔颌面部的骨缺损使用块状骨进行植骨．</t>
  </si>
  <si>
    <t>本项目中的”部位”指：左上颌、右上颌、左下颌、右下颌、左颧骨颧弓、右颧骨颧弓、左眼眶、右眼眶、颏部．</t>
  </si>
  <si>
    <t>颌面部植骨费（块状骨）－儿童（加收）</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</si>
  <si>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</si>
  <si>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</si>
  <si>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</si>
  <si>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</si>
  <si>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颌骨畸形矫正费－儿童（加收）</t>
  </si>
  <si>
    <t>颌骨骨折固定费（常规）</t>
  </si>
  <si>
    <t>通过手术对颌骨骨折进行复位并固定．</t>
  </si>
  <si>
    <t>所定价格涵盖手术计划、消毒、切开、骨折复位、固定、缝合、处理用物等步骤所需的人力资源和基本物质资源消耗．</t>
  </si>
  <si>
    <t>颌骨骨折固定费（常规）－儿童（加收）</t>
  </si>
  <si>
    <t>颌骨骨折固定费（复杂）</t>
  </si>
  <si>
    <t>通过手术对复杂情况的颌骨骨折进行复位并固定．</t>
  </si>
  <si>
    <t>所定价格涵盖手术计划、消毒、切开、骨折复位、固定、缝合处理用物等步骤所需的人力资源和基本物质资源消耗．</t>
  </si>
  <si>
    <t>、</t>
  </si>
  <si>
    <t>1.本项目中的“复杂”指：陈旧性骨折、粉碎性骨折、多发性骨折、伴骨缺损骨折、骨不连骨折．2.本项目中的”部位”指：左上颌、右上颌、左下颌、右下颌．3.国家医学中心、国家临床重点专科价格上浮10%.</t>
  </si>
  <si>
    <t>颌骨骨折固定费（复杂）－儿童（加收）</t>
  </si>
  <si>
    <t>傑突骨折固定费（常规）</t>
  </si>
  <si>
    <r>
      <rPr>
        <sz val="10"/>
        <color rgb="FF181818"/>
        <rFont val="宋体"/>
        <charset val="134"/>
      </rPr>
      <t>通过手术对棵突骨折进行复位并固定</t>
    </r>
    <r>
      <rPr>
        <sz val="10"/>
        <color rgb="FF3A3A3A"/>
        <rFont val="宋体"/>
        <charset val="134"/>
      </rPr>
      <t>．</t>
    </r>
  </si>
  <si>
    <t>所定价格涵盖手术计划、消毒、切开、面神经解剖、骨折复位、固定、缝合、处理用物等步骤所需的人力资源和基本物质资源消耗．</t>
  </si>
  <si>
    <t>01口腔内镜操作</t>
  </si>
  <si>
    <t>本项目中的”部位”指：左傑突、右探突．</t>
  </si>
  <si>
    <t>棵突骨折固定费（常规）－儿童（加收）</t>
  </si>
  <si>
    <t>傑突骨折固定费（常规）－口腔内镜操作（加收）</t>
  </si>
  <si>
    <t>傑突骨折固定费（复杂）</t>
  </si>
  <si>
    <t>通过手术对复杂情况的傑突骨折进行复位并固定．</t>
  </si>
  <si>
    <t>1.本项目中的“复杂”指：陈旧性骨折、粉碎性骨折．2.本项目中的”部位”指：左棵突、右探突．3.国家医学中心、国家临床重点专科价格上浮10%.</t>
  </si>
  <si>
    <t>碟突骨折固定费（复杂）－儿童（加收）</t>
  </si>
  <si>
    <t>憬突骨折固定费（复杂）－口腔内镜操作（加收）</t>
  </si>
  <si>
    <t>颧骨颧弓骨折固定费（常规）</t>
  </si>
  <si>
    <t>通过手术对颧骨颧弓骨折进行复位并固定．</t>
  </si>
  <si>
    <t>颧骨颧弓骨折固定费（常规）－儿童（加收）</t>
  </si>
  <si>
    <t>颧骨颧弓骨折固定费（常规）－口腔内镜操作（加收）</t>
  </si>
  <si>
    <t>颧骨颧弓骨折固定费（复杂）</t>
  </si>
  <si>
    <t>通过手术对复杂情况的颧骨颧弓骨折进行复位并固定．</t>
  </si>
  <si>
    <t>l.本项目中的“复杂”指：陈旧性骨折、粉碎性骨折、多发性骨折、伴骨缺损骨折、骨不连．2.国家医学中心、国家临床重点专科价格上浮10%.</t>
  </si>
  <si>
    <t>颧骨颧弓骨折固定费（复杂）－儿童（加收）</t>
  </si>
  <si>
    <t>颧骨颧弓骨折固定费（复杂）－口腔内镜操作（加收）</t>
  </si>
  <si>
    <t>鼻眶筛区骨折固定费（常规）</t>
  </si>
  <si>
    <t>通过手术对鼻眶筛区骨折进行复位并固定．</t>
  </si>
  <si>
    <t>鼻眶筛区骨折固定费（常规）－儿童（加收）</t>
  </si>
  <si>
    <t>鼻眶筛区骨折固定费（复杂）</t>
  </si>
  <si>
    <t>通过手术对复杂情况的鼻眶筛区骨折进行复位并固定．</t>
  </si>
  <si>
    <t>本项目中的“复杂”指：陈旧性骨折、粉碎性骨折、多发性骨折、伴骨缺损骨折、骨不连．</t>
  </si>
  <si>
    <t>鼻眶筛区骨折固定费（复杂）－儿童（加收）</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</si>
  <si>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</si>
  <si>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</si>
  <si>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</si>
  <si>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本项目中的＂次”指：3厘米及以下长度，3厘米以上每增加1厘米加收33%.</t>
  </si>
  <si>
    <t>颌面部软组织清创缝合费－儿童（加收）</t>
  </si>
  <si>
    <t>口腔颌面部软组织病变切除费（常规）</t>
  </si>
  <si>
    <t>通过手术切除口腔颌面部的良性病变．</t>
  </si>
  <si>
    <t>所定价格涵盖手术计划、消毒、切开、分离、切除、冲洗、缝合、处理用物等步骤所需的人</t>
  </si>
  <si>
    <t>本项目中的”部位”指：频、唇、颊、舌、房、额、牙跋、口底、口咽．</t>
  </si>
  <si>
    <t>口腔颌面部软组织病变切除费（常规）－儿童（加收）</t>
  </si>
  <si>
    <t>口腔颌面部软组织病变切除费（复杂）</t>
  </si>
  <si>
    <t>通过手术切除复杂情况的口腔颌面部病变．</t>
  </si>
  <si>
    <t>所定价格涵盖手术计划、消毒、切开、分离、切除、冲洗、缝合、处理用物等步骤所需的人力资源和基本物质资源消耗．</t>
  </si>
  <si>
    <t>1.本项目中的“复杂”指：恶性肿瘤、良性肿物最大径大于等于3厘米、放化疗后、复发2.本项目中的”部位”指：频、唇、颊、舌、腮、额、牙摄、口底、口咽．3.国家医学中心、国家临床重点专科价格上浮10%.</t>
  </si>
  <si>
    <t>口腔颌面部软组织病变切除费（复杂）－儿童（加收）</t>
  </si>
  <si>
    <t>颈部软组织病变切除费（常规）</t>
  </si>
  <si>
    <t>通过手术切除颈部的良性病变．</t>
  </si>
  <si>
    <t>颈部软组织病变切除费（常规）－儿童（加收）</t>
  </si>
  <si>
    <t>颈部软组织病变切除费（常规）－口腔内镜操作（加收）</t>
  </si>
  <si>
    <t>颈部软组织病变切除费（复杂）</t>
  </si>
  <si>
    <t>通过手术切除复杂情况的颈部病变．</t>
  </si>
  <si>
    <t>1.本项目中的“复杂”指：恶性肿瘤、良性肿物最大径大于等于3厘米、放化疗后、复发．2.国家医学中心、国家临床重点专科价格上浮10%.</t>
  </si>
  <si>
    <t>颈部软组织病变切除费（复杂）－儿童（加收）</t>
  </si>
  <si>
    <t>颈部软组织病变切除费（复杂）－口腔内镜操作（加收）</t>
  </si>
  <si>
    <t>腮腺病变切除费（常规）</t>
  </si>
  <si>
    <t>通过手术切除腮腺的良性病变或部分腮腺．</t>
  </si>
  <si>
    <t>01颌下腺病变切除11舌下腺病变切除</t>
  </si>
  <si>
    <t>腮腺病变切除费（常规）－儿童（加收）</t>
  </si>
  <si>
    <t>腮腺病变切除费（常规）－口腔内镜操作（加收）</t>
  </si>
  <si>
    <t>腮腺病变切除费（常规）－颌下腺病变切除（扩展）</t>
  </si>
  <si>
    <t>腮腺病变切除费（常规）－舌下腺病变切除（扩展）</t>
  </si>
  <si>
    <t>腮腺病变切除费（复杂）</t>
  </si>
  <si>
    <t>通过手术切除复杂情况的腮腺病变．</t>
  </si>
  <si>
    <t>本项目中的“复杂”指：恶性肿瘤、良性肿物最大径大于等于3厘米、放化疗后、复发、累及面神经．</t>
  </si>
  <si>
    <t>腮腺病变切除费（复杂）－儿童（加收）</t>
  </si>
  <si>
    <t>腮腺病变切除费（复杂）－口腔内镜操作（加收）</t>
  </si>
  <si>
    <t>腮腺病变切除费（复杂）－颌下腺病变切除（扩展）</t>
  </si>
  <si>
    <t>腮腺病变切除费（复杂）－舌下腺病变切除（扩展）</t>
  </si>
  <si>
    <t>颞下颌关节病变切除费（常规）</t>
  </si>
  <si>
    <t>通过手术切除颞下颌关节病变．</t>
  </si>
  <si>
    <t>所定价格涵盖手术计划、消毒、切开、切除、清理、缝合、处理用物等步骤所需的人力资源和基本物质资源消耗．</t>
  </si>
  <si>
    <t>颞下颌关节病变切除费（常规）－儿童（加收）</t>
  </si>
  <si>
    <t>颞下颌关节病变切除费（常规）－口腔内镜操作（加收）</t>
  </si>
  <si>
    <t>颞下颌关节病变切除费（复杂）</t>
  </si>
  <si>
    <t>通过手术切除复杂情况的颞下颌关节病变．</t>
  </si>
  <si>
    <t>本项目中的“复杂”指：肿物侵犯关节外及周围软组织和骨组织．</t>
  </si>
  <si>
    <t>颞下颌关节病变切除费（复杂）－儿童（加收）</t>
  </si>
  <si>
    <t>颞下颌关节病变切除费（复杂）－口腔内镜操作（加收）</t>
  </si>
  <si>
    <t>颅底／颞下窝病变切除费（非开颅）</t>
  </si>
  <si>
    <t>通过手术切除颅底／颞下窝的病变．</t>
  </si>
  <si>
    <t>01恶性肿瘤切除；11口腔内镜操作</t>
  </si>
  <si>
    <t>涉及开颅的颅底／颞下窝肿物切除按神经系统项目＂颅底病变切除费”收取．</t>
  </si>
  <si>
    <t>颅底／颞下窝病变切除费（非开颅）－儿童（加收）</t>
  </si>
  <si>
    <t>颅底／颞下窝病变切除费（非开颅）－恶性肿瘤切除（加收）</t>
  </si>
  <si>
    <t>颅底／颞下窝病变切除费（非开颅）－口腔内镜操作（加收）</t>
  </si>
  <si>
    <t>上颌骨部分切除费</t>
  </si>
  <si>
    <t>通过手术切除低位上颌骨．含牙槽突以内上颌骨切除．</t>
  </si>
  <si>
    <t>所定价格涵盖手术计划、消毒、切开、分离、切除、缝合、处理用物等步骤所需的人力资源和基本物质资源消耗．</t>
  </si>
  <si>
    <t>01恶性肿瘤切除</t>
  </si>
  <si>
    <t>上颌骨部分切除费－儿童（加收）</t>
  </si>
  <si>
    <t>上颌骨部分切除费－恶性肿瘤切除（加收）</t>
  </si>
  <si>
    <t>上颌骨切除费</t>
  </si>
  <si>
    <t>通过手术切除部分、全部上颌骨或上颌骨及其周</t>
  </si>
  <si>
    <t>所定价格涵盖手术计划、消毒、切开、分离、切除、缝合、处理用物等步骤所需的人力资源</t>
  </si>
  <si>
    <t>01330603029000I</t>
  </si>
  <si>
    <t>上颌骨切除费－儿童（加收）</t>
  </si>
  <si>
    <t>围骨组织．</t>
  </si>
  <si>
    <t>和基本物质资源消耗．</t>
  </si>
  <si>
    <t>下颌骨部分切除费</t>
  </si>
  <si>
    <t>通过手术切除部分下颌骨，仍保持下颌骨连续性．</t>
  </si>
  <si>
    <t>下颌骨部分切除费－儿童（加收）</t>
  </si>
  <si>
    <t>下颌骨部分切除费－恶性肿瘤切除（加收）</t>
  </si>
  <si>
    <t>下颌骨切除费</t>
  </si>
  <si>
    <r>
      <rPr>
        <sz val="10"/>
        <color rgb="FF181818"/>
        <rFont val="宋体"/>
        <charset val="134"/>
      </rPr>
      <t>通过手术切除下颌骨，使下颌骨连续性中断</t>
    </r>
    <r>
      <rPr>
        <sz val="10"/>
        <color rgb="FF3D3D3D"/>
        <rFont val="宋体"/>
        <charset val="134"/>
      </rPr>
      <t>．</t>
    </r>
  </si>
  <si>
    <t>下颌骨切除费－儿童（加收）</t>
  </si>
  <si>
    <t>颜骨切除费</t>
  </si>
  <si>
    <t>通过手术切除部分或全部颜骨．</t>
  </si>
  <si>
    <t>颜骨切除费－儿童（加收）</t>
  </si>
  <si>
    <t>颜骨切除费－恶性肿瘤切除（加收）</t>
  </si>
  <si>
    <t>面搂切除费</t>
  </si>
  <si>
    <t>通过手术切除面搂．</t>
  </si>
  <si>
    <t>痰道</t>
  </si>
  <si>
    <t>面搂切除费－儿童（加收）</t>
  </si>
  <si>
    <t>颌下腺移植费</t>
  </si>
  <si>
    <t>通过手术将自体颌下腺移植于颓部，导管引入同侧眼内．</t>
  </si>
  <si>
    <t>所定价格涵盖手术计划、消毒、切开、分离、制备、改道、吻合、缝合、处理用物等步骤所需的人力资源和基本物质资源消耗．</t>
  </si>
  <si>
    <t>01小唾液腺移植</t>
  </si>
  <si>
    <t>颌下腺移植费－儿童（加收）</t>
  </si>
  <si>
    <t>颌下腺移植费－小唾液腺移植（扩展）</t>
  </si>
  <si>
    <t>颞下颌关节切开复位费</t>
  </si>
  <si>
    <t>通过手术将脱位、移位的颞下颌关节复位．</t>
  </si>
  <si>
    <t>所定价格涵盖手术计划、消毒、切开、复位、缝合、处理用物等步骤所需的人力资源和基本物质资源消耗．</t>
  </si>
  <si>
    <t>颞下颌关节切开复位费－儿童（加收）</t>
  </si>
  <si>
    <t>颞下颌关节切开复位费－口腔内镜操作（加收）</t>
  </si>
  <si>
    <t>颞下颌关节闭合复位费</t>
  </si>
  <si>
    <t>通过手法或牵引将脱位的颞下颌关节复位．</t>
  </si>
  <si>
    <t>所定价格涵盖手术计划、闭合、复位、处理用物等步骤所需的人力资源和基本物质资源消耗．</t>
  </si>
  <si>
    <t>01陈旧性脱位；11口腔内镜操作</t>
  </si>
  <si>
    <t>颞下颌关节闭合复位费－儿童（加收）</t>
  </si>
  <si>
    <t>颞下颌关节闭合复位费－陈旧性脱位（加收）</t>
  </si>
  <si>
    <t>颞下颌关节闭合复位费－口腔内镜操作（加收）</t>
  </si>
  <si>
    <t>颞下颌关节盘复位固定费</t>
  </si>
  <si>
    <t>通过手术将移位的颞下颌关节盘复位．</t>
  </si>
  <si>
    <t>所定价格涵盖手术计划、消毒、切开、松解、黏连清除、复位缝合、处理用物等步骤所需的人力资源和基本物质资源消耗．</t>
  </si>
  <si>
    <t>、01口腔内镜操作</t>
  </si>
  <si>
    <t>颞下颌关节盘复位固定费－儿童（加收）</t>
  </si>
  <si>
    <t>颞下颌关节盘复位固定费－口腔内镜操作（加收）</t>
  </si>
  <si>
    <t>颞下颌关节成形费</t>
  </si>
  <si>
    <t>通过手术将颞下颌修整成形．</t>
  </si>
  <si>
    <t>所定价格涵盖手术计划、消毒、切开、成形、缝合等步骤所需的人力资源和基本物质资源消耗．</t>
  </si>
  <si>
    <t>01粘连或病变累及关节外</t>
  </si>
  <si>
    <t>颞下颌关节成形费－儿童（加收）</t>
  </si>
  <si>
    <t>颞下颌关节成形费－粘连或病变累及关节外（加收）</t>
  </si>
  <si>
    <t>013306030390000</t>
  </si>
  <si>
    <t>颞下颌关节部分切除费(常规)</t>
  </si>
  <si>
    <t>通过手术切除部分髁突或颞下颌关节区其他病变。</t>
  </si>
  <si>
    <t>所定价格涵盖手术计划、消毒、切开、切除、清理、缝合、处理用物等步骤所需的人力资源和基本物质资源消耗。</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</si>
  <si>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</si>
  <si>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</si>
  <si>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</si>
  <si>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</si>
  <si>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</si>
  <si>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</si>
  <si>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</si>
  <si>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</si>
  <si>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</si>
  <si>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</si>
  <si>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</si>
  <si>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</si>
  <si>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</si>
  <si>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</si>
  <si>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</si>
  <si>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</si>
  <si>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</si>
  <si>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</si>
  <si>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</si>
  <si>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</si>
  <si>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</si>
  <si>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</si>
  <si>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</si>
  <si>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</si>
  <si>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颞下颌关节盘修复费（复杂）－儿童（加收）</t>
  </si>
  <si>
    <t>颞下颌关节盘修复费（复杂）－口腔内镜操作（加收）</t>
  </si>
  <si>
    <t>颞下颌关节重建费（常规）</t>
  </si>
  <si>
    <t>通过手术对缺损的颓下颌关节进行重建．</t>
  </si>
  <si>
    <t>所定价格涵盖手术计划、消毒、切开、重建、缝合、处理用物等步骤所需的人力资源和基本物质资源消耗．</t>
  </si>
  <si>
    <t>颞下颌关节重建费（常规）－儿童（加收）</t>
  </si>
  <si>
    <t>01330603043001l</t>
  </si>
  <si>
    <t>颞下颌关节重建费（常规）－口腔内镜操作（加收）</t>
  </si>
  <si>
    <t>颞下颌关节重建费（复杂）</t>
  </si>
  <si>
    <t>通过手术对复杂情况的缺损颓下颌关节进行重建．</t>
  </si>
  <si>
    <t>本项目中的“复杂”指：下颌升支截骨、探突／全关节置换．</t>
  </si>
  <si>
    <t>颞下颌关节重建费（复杂）－儿童（加收）</t>
  </si>
  <si>
    <t>颞下颌关节重建费（复杂）－口腔内镜操作（加收）</t>
  </si>
  <si>
    <t>颞下颌关节紊乱病矫治费</t>
  </si>
  <si>
    <t>通过矫治器安装调整来治疗颓下颌关节紊乱病．</t>
  </si>
  <si>
    <r>
      <rPr>
        <sz val="10"/>
        <color rgb="FF181818"/>
        <rFont val="宋体"/>
        <charset val="134"/>
      </rPr>
      <t>所定价格涵盖方案设计、矫治器安装</t>
    </r>
    <r>
      <rPr>
        <sz val="10"/>
        <color rgb="FF343434"/>
        <rFont val="宋体"/>
        <charset val="134"/>
      </rPr>
      <t>、</t>
    </r>
    <r>
      <rPr>
        <sz val="10"/>
        <color rgb="FF181818"/>
        <rFont val="宋体"/>
        <charset val="134"/>
      </rPr>
      <t>评估、调整、处理用物等步骤所需的人力资源和基本物质资源消耗．</t>
    </r>
  </si>
  <si>
    <t>疗程</t>
  </si>
  <si>
    <t>1.不包含颌垫设计及制备的费用．2.本项目中的＂疗程”指：治疗从开始到结束的整个过程．3.每个疗程就诊次数不低于8次．</t>
  </si>
  <si>
    <t>颞下颌关节紊乱病矫治费－儿童（加收）</t>
  </si>
  <si>
    <t>013306030460000</t>
  </si>
  <si>
    <t>下颌骨喙突切除费</t>
  </si>
  <si>
    <t>通过手术切除部分或全部下颌骨喙突。</t>
  </si>
  <si>
    <t>所定价格涵盖手术计划、消毒、切开、分离、切除、缝合、处理用物等步骤所需的人力资源和基本物质资源消耗。</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</si>
  <si>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</si>
  <si>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</si>
  <si>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</si>
  <si>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</si>
  <si>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</si>
  <si>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</si>
  <si>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</si>
  <si>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</si>
  <si>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01鼻底封闭成型</t>
  </si>
  <si>
    <t>1.唇裂修复不涉及鼻畸形修复，正中裂修复按单侧收费。2.国家医学中心、国家临床重点专科价格上浮10%。</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</si>
  <si>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</si>
  <si>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</si>
  <si>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</si>
  <si>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</si>
  <si>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</si>
  <si>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</si>
  <si>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</si>
  <si>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</si>
  <si>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</si>
  <si>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</si>
  <si>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</si>
  <si>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</si>
  <si>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</si>
  <si>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</si>
  <si>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</si>
  <si>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</si>
  <si>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</si>
  <si>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</si>
  <si>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</si>
  <si>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</si>
  <si>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</si>
  <si>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腮裂修复费</t>
  </si>
  <si>
    <t>通过手术修复府部裂隙，重建腮部外形．</t>
  </si>
  <si>
    <t>所定价格涵盖手术计划、消毒、切开、调整、成形、缝合、处理用物等步骤所需的人力资源和基本物质资源消耗．</t>
  </si>
  <si>
    <t>01Ill度房裂</t>
  </si>
  <si>
    <t>肝裂修复费－儿童（加收）</t>
  </si>
  <si>
    <t>腮裂修复费－皿度腮裂（加收）</t>
  </si>
  <si>
    <t>房咽闭合不全修复费</t>
  </si>
  <si>
    <r>
      <rPr>
        <sz val="10"/>
        <color rgb="FF282828"/>
        <rFont val="宋体"/>
        <charset val="134"/>
      </rPr>
      <t>通过手术恢复脖</t>
    </r>
    <r>
      <rPr>
        <sz val="10"/>
        <color rgb="FF181818"/>
        <rFont val="宋体"/>
        <charset val="134"/>
      </rPr>
      <t>部完整性．</t>
    </r>
  </si>
  <si>
    <t>01腮裂术后复裂</t>
  </si>
  <si>
    <t>脖咽闭合不全修复费－儿童（加收）</t>
  </si>
  <si>
    <t>肝咽闭合不全修复费－腮裂术后复裂（加收）</t>
  </si>
  <si>
    <t>腮痰修复费</t>
  </si>
  <si>
    <t>通过手术修补脖痰，封闭口鼻腔．</t>
  </si>
  <si>
    <t>所定价格涵盖手术计划、消毒、切开、分离、调整、缝合、处理用物等步骤所需的人力资源和基本物质资源消耗．</t>
  </si>
  <si>
    <r>
      <rPr>
        <sz val="10"/>
        <color rgb="FF181818"/>
        <rFont val="宋体"/>
        <charset val="134"/>
      </rPr>
      <t>腮搂修复费－儿</t>
    </r>
    <r>
      <rPr>
        <sz val="10"/>
        <color rgb="FF282828"/>
        <rFont val="宋体"/>
        <charset val="134"/>
      </rPr>
      <t>童（加收）</t>
    </r>
  </si>
  <si>
    <t>牙槽突裂修复费</t>
  </si>
  <si>
    <t>通过手术修复缺损的牙槽突裂隙，恢复患者牙槽外形．</t>
  </si>
  <si>
    <t>所定价格涵盖手术计划、消毒、切开、调整、缝合、处理用物等步骤所需的人力资源和基本物质资源消耗．</t>
  </si>
  <si>
    <t>1.不包括植骨费．2.国家医学中心、国家临床重点专科价格上浮10%.</t>
  </si>
  <si>
    <t>牙槽突裂修复费－儿童（加收）</t>
  </si>
  <si>
    <r>
      <rPr>
        <sz val="10"/>
        <color rgb="FF181818"/>
        <rFont val="宋体"/>
        <charset val="134"/>
      </rPr>
      <t>唇裂鼻畸形修复</t>
    </r>
    <r>
      <rPr>
        <sz val="10"/>
        <color rgb="FF282828"/>
        <rFont val="宋体"/>
        <charset val="134"/>
      </rPr>
      <t>费</t>
    </r>
  </si>
  <si>
    <r>
      <rPr>
        <sz val="10"/>
        <color rgb="FF282828"/>
        <rFont val="宋体"/>
        <charset val="134"/>
      </rPr>
      <t>通过手术修复唇裂鼻部畸形，重</t>
    </r>
    <r>
      <rPr>
        <sz val="10"/>
        <color rgb="FF181818"/>
        <rFont val="宋体"/>
        <charset val="134"/>
      </rPr>
      <t>建鼻部外形</t>
    </r>
    <r>
      <rPr>
        <sz val="10"/>
        <color rgb="FF484848"/>
        <rFont val="宋体"/>
        <charset val="134"/>
      </rPr>
      <t>．</t>
    </r>
  </si>
  <si>
    <t>1.正中裂修复按单侧收费．2.国家医学中心、国家临床重点专科价格上浮10%.</t>
  </si>
  <si>
    <r>
      <rPr>
        <sz val="10"/>
        <color rgb="FF181818"/>
        <rFont val="宋体"/>
        <charset val="134"/>
      </rPr>
      <t>唇裂鼻畸形修复</t>
    </r>
    <r>
      <rPr>
        <sz val="10"/>
        <color rgb="FF282828"/>
        <rFont val="宋体"/>
        <charset val="134"/>
      </rPr>
      <t>费－儿童（加收）</t>
    </r>
  </si>
  <si>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</si>
  <si>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</si>
  <si>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</si>
  <si>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</si>
  <si>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</si>
  <si>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</si>
  <si>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</si>
  <si>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</si>
  <si>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</si>
  <si>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不与“唇裂修复费”“唇裂术后继发唇畸形整复费”“唇裂鼻畸形修复费”同时收取。</t>
  </si>
  <si>
    <t>013306030570001</t>
  </si>
  <si>
    <t>唇鼻系统重建费一儿童(加收)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</si>
  <si>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</si>
  <si>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</si>
  <si>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</si>
  <si>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</si>
  <si>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</si>
  <si>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</si>
  <si>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</si>
  <si>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</si>
  <si>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</si>
  <si>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</si>
  <si>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1.不与同台同部位其他手术同时收费。2.术后口咽颌面部出血、脓/血肿行手术探查及处理适用本项目收费。</t>
  </si>
  <si>
    <t>013306030590001</t>
  </si>
  <si>
    <t>口咽颌面部手术探查费一儿童(加收)</t>
  </si>
  <si>
    <t>013306030600000</t>
  </si>
  <si>
    <t>颈部手术探查费</t>
  </si>
  <si>
    <t>通过手术探查颈部情况。</t>
  </si>
  <si>
    <t>不与同台同部位其他手术同时收费。</t>
  </si>
  <si>
    <t>013306030600001</t>
  </si>
  <si>
    <t>颈部手术探查费一儿童(加收)</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</si>
  <si>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</si>
  <si>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</si>
  <si>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</si>
  <si>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</si>
  <si>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唾液腺导管改道费－儿童（加收）</t>
  </si>
  <si>
    <t>唾液腺导管吻合费</t>
  </si>
  <si>
    <t>通过手术吻合断裂的腮腺或颌下腺导管．</t>
  </si>
  <si>
    <t>所定价格涵盖手术计划、消毒、切开、分离唾液腺导管、吻合、处理用物等步骤所需的人力资源和基本物质资源消耗．</t>
  </si>
  <si>
    <t>唾液腺导管吻合费－儿童（加收）</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</si>
  <si>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</si>
  <si>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</si>
  <si>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</si>
  <si>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本项目中的＂次”指：2个及以下间隙感染，3个及以上每增加1个问隙按33%计价．</t>
  </si>
  <si>
    <t>颌面部间隙感染切开引流费（常规）－儿童（加收）</t>
  </si>
  <si>
    <t>颌面部间隙感染切开引流费（复杂）</t>
  </si>
  <si>
    <t>通过手术对复杂情况的颌面部间隙感染切开引流．</t>
  </si>
  <si>
    <r>
      <rPr>
        <sz val="10"/>
        <color rgb="FF181818"/>
        <rFont val="宋体"/>
        <charset val="134"/>
      </rPr>
      <t>所定价格涵盖手术计划、消毒、切开、引流</t>
    </r>
    <r>
      <rPr>
        <sz val="10"/>
        <color rgb="FF343434"/>
        <rFont val="宋体"/>
        <charset val="134"/>
      </rPr>
      <t>、</t>
    </r>
    <r>
      <rPr>
        <sz val="10"/>
        <color rgb="FF181818"/>
        <rFont val="宋体"/>
        <charset val="134"/>
      </rPr>
      <t>冲洗、放置引流装置等步骤所需的人力资源和基本物质资源消耗．</t>
    </r>
  </si>
  <si>
    <t>1.本项目中的“复杂”指：累及咽后、颌下、椎前或颈根临近纵脱．2.本项目中的“次”指：2个及以下间隙感染，3个及以上每增加1个间隙按33%计价．3.国家医学中心、国家临床重点专科价格上浮10%.</t>
  </si>
  <si>
    <t>颌面部间隙感染切开引流费（复杂）－儿童（加收）</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</si>
  <si>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</si>
  <si>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</si>
  <si>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</si>
  <si>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1.本项目中的“深部”指：异物穿过颌面部2个及以上解剖部位，距离面部体表3cm以上．2.颌面颈部浅表异物取出按照体被系统的＂浅表异物取出费”收取．</t>
  </si>
  <si>
    <t>颌面颈部深部异物取出费－儿童（加收）</t>
  </si>
  <si>
    <t>颌问挛缩松解费</t>
  </si>
  <si>
    <t>通过手术切除或松解颌部的挛缩组织、纤维化的肌组织，恢复颌间的正常功能和活动度．</t>
  </si>
  <si>
    <t>所定价格涵盖手术计划、消毒、切开／切除、松解、缝合、处理用物等步骤所需的人力资源和基本物质资源消耗．</t>
  </si>
  <si>
    <t>颌间挛缩松解费－儿童（加收）</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</si>
  <si>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</si>
  <si>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</si>
  <si>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</si>
  <si>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本项目中的”部位”指：左上颌、右上颌、左下颌、右下颌、颏部、左颜骨颖弓、右颜骨颖弓．</t>
  </si>
  <si>
    <t>颌面部牵引器植入费－儿童（加收）</t>
  </si>
  <si>
    <t>颌面部植入物取出费</t>
  </si>
  <si>
    <t>通过手术取出颌面部植入物．</t>
  </si>
  <si>
    <t>所定价格涵盖手术计划、消毒、切开、植入物取出、缝合、处理用物等步骤所需的人力资源和基本物质资源消耗．</t>
  </si>
  <si>
    <t>颌面部植入物取出费－儿童（加收）</t>
  </si>
  <si>
    <t>咀嚼肌部分切除费</t>
  </si>
  <si>
    <t>通过手术切除部分咀嚼肌．</t>
  </si>
  <si>
    <t>咀嚼肌部分切除费－儿童（加收）</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</si>
  <si>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</si>
  <si>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</si>
  <si>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</si>
  <si>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</si>
  <si>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神经吻合面瘫畸形整复费－儿童（加收）</t>
  </si>
  <si>
    <r>
      <rPr>
        <sz val="10"/>
        <color rgb="FF282828"/>
        <rFont val="宋体"/>
        <charset val="134"/>
      </rPr>
      <t>悬吊面瘫畸形矫</t>
    </r>
    <r>
      <rPr>
        <sz val="10"/>
        <color rgb="FF181818"/>
        <rFont val="宋体"/>
        <charset val="134"/>
      </rPr>
      <t>正费</t>
    </r>
  </si>
  <si>
    <t>通过应用自体阔筋膜或人工合成材料等，对移位的面部组织进行悬吊，矫正面瘫畸形．</t>
  </si>
  <si>
    <r>
      <rPr>
        <sz val="10"/>
        <color rgb="FF181818"/>
        <rFont val="宋体"/>
        <charset val="134"/>
      </rPr>
      <t>所定价格涵盖手术计划、消毒、切开、剥离</t>
    </r>
    <r>
      <rPr>
        <sz val="10"/>
        <color rgb="FF3B3B3B"/>
        <rFont val="宋体"/>
        <charset val="134"/>
      </rPr>
      <t>、悬</t>
    </r>
    <r>
      <rPr>
        <sz val="10"/>
        <color rgb="FF181818"/>
        <rFont val="宋体"/>
        <charset val="134"/>
      </rPr>
      <t>吊、缝合、处理用物等步骤所需的人力资源</t>
    </r>
    <r>
      <rPr>
        <sz val="10"/>
        <color rgb="FF282828"/>
        <rFont val="宋体"/>
        <charset val="134"/>
      </rPr>
      <t>和基本物质资源消耗．</t>
    </r>
  </si>
  <si>
    <r>
      <rPr>
        <sz val="10"/>
        <color rgb="FF282828"/>
        <rFont val="宋体"/>
        <charset val="134"/>
      </rPr>
      <t>悬吊面瘫畸形矫</t>
    </r>
    <r>
      <rPr>
        <sz val="10"/>
        <color rgb="FF181818"/>
        <rFont val="宋体"/>
        <charset val="134"/>
      </rPr>
      <t>正费－儿童（加</t>
    </r>
    <r>
      <rPr>
        <sz val="10"/>
        <color rgb="FF282828"/>
        <rFont val="宋体"/>
        <charset val="134"/>
      </rPr>
      <t>收）</t>
    </r>
  </si>
  <si>
    <t>乳牙期错合矫治费（常规）</t>
  </si>
  <si>
    <t>通过矫治器安装调整进行乳牙错合畸形的早期矫治．</t>
  </si>
  <si>
    <t>所定价格涵盖准备、方案设计、矫治器安装、调整评估、加力、拆除、处理用物等步骤所需的人力资源和基本物质资源消耗．</t>
  </si>
  <si>
    <t>本项目所称＂疗程”指：从错合矫治治疗开始到结束．</t>
  </si>
  <si>
    <t>乳牙期错合矫治费（复杂）</t>
  </si>
  <si>
    <t>通过矫治器安装调整进行疑难复杂情况的乳牙错合畸形的早期矫治．</t>
  </si>
  <si>
    <t>I.本项目所称“复杂”指：骨性皿类、上颌或上牙弓狭窄、伴颅颌面先天畸形、后牙反合或锁合的情况．2.本项目所称＂疗程”指：从错合矫治治疗开始到结束．</t>
  </si>
  <si>
    <t>替牙期1类错合矫治费（常规）</t>
  </si>
  <si>
    <t>通过矫治器安装调整进行替牙期1类错合畸形的早期矫治．</t>
  </si>
  <si>
    <t>1.本项目所称＂疗程”指：从错合矫治治疗开始到结束．2.国家医学中心、国家临床重点专科价格上浮10%.</t>
  </si>
  <si>
    <t>替牙期1类错合矫治费（复杂）</t>
  </si>
  <si>
    <t>通过矫治器安装调整进行疑难复杂情况的替牙期I类错合畸形的早期矫治．</t>
  </si>
  <si>
    <t>1.本项目所称“复杂”指：开合、后牙反合、III度深覆合、后牙锁合上颌前突(ANB7度）或下颌前突(ANB竺0度）、伴颅颌面畸形、伴颓下颌关节病、阻生牙的情况．2.本项目所称＂疗程”指：从错合矫治治疗开始到结束．</t>
  </si>
  <si>
    <t>替牙期11类错合矫治费（常规）</t>
  </si>
  <si>
    <t>通过矫治器安装调整进行替牙期II类错合畸形的早期矫治．</t>
  </si>
  <si>
    <t>替牙期11类错合矫治费（复杂）</t>
  </si>
  <si>
    <t>通过矫治器安装调整进行疑难复杂情况的替牙期II类错合畸形的早期矫治．</t>
  </si>
  <si>
    <t>1.本项目所称“复杂”指：开合、后牙反合、III度深覆合、后牙锁合、严重上颌前突(ANB乏7度）、伴颅颌面畸形、伴颓下颌关节病、阻生牙的情况．2.本项目所称＂疗程”指：从错合矫治治疗开始到结束．</t>
  </si>
  <si>
    <t>替牙期皿类错合矫治费（常规）</t>
  </si>
  <si>
    <t>通过矫治器安装调整进行替牙期皿类错合畸形的早期矫治．</t>
  </si>
  <si>
    <t>013105020080000</t>
  </si>
  <si>
    <t>替牙期Ⅲ类错合矫治费(复杂)</t>
  </si>
  <si>
    <t>通过矫治器安装调整进行疑难复杂情况的替牙期Ⅲ类错合畸形的早期矫治。</t>
  </si>
  <si>
    <t>所定价格涵盖准备、方案设计、矫治器安装、调整评估、加力、拆除、处理用物等步骤所需的人力资源和基本物质资源消耗。</t>
  </si>
  <si>
    <t>1.本项目所称“复杂”指：开合、Ⅲ度深覆合、后牙反合、后牙锁合、下颌前突(ANB≤0度)、伴颅颌面畸形、伴颗下颌关节病、阻生牙的情况。2.本项目所称“疗程”指：从错合矫治治疗开始到结束。</t>
  </si>
  <si>
    <t>013105020090000</t>
  </si>
  <si>
    <t>恒牙期I类错合矫治费(常规)</t>
  </si>
  <si>
    <t>通过矫治器安装调整进行恒牙期I类错合畸形的矫治。</t>
  </si>
  <si>
    <t>1.在同一家医疗机构正畸治疗结束，复发病例再次矫治，每例按疗程费用的50%计价收费。2.本项目所称“疗程”指：从错合矫治治疗开始到结束。3.国家医学中心、国家临床重点专科价格上浮10%。</t>
  </si>
  <si>
    <t>013105020100000</t>
  </si>
  <si>
    <t>恒牙期I类错合矫治费(复杂)</t>
  </si>
  <si>
    <t>通过矫治器安装调整进行疑难复杂情况的恒牙期I类错合畸形的矫治。</t>
  </si>
  <si>
    <t>1.本项目所称“复杂”指：18岁以上(不含18岁)、开合、Ⅲ度深覆合、拔磨牙后关闭间隙、磨牙或牙弓远中移动、阻生牙、伴颅颌面畸形、伴颞下颌关节病、正畸一正颌手术联合治疗、舌侧矫治的情况。2.在同一家医疗机构正畸治疗结束，复发病例再次矫治，每例按疗程费用的50%计价收费。3.本项目所称“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</si>
  <si>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</si>
  <si>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</si>
  <si>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</si>
  <si>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</si>
  <si>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</si>
  <si>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</si>
  <si>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本项目所称“复杂”指：18岁以上(不含18岁)、开合、Ⅲ度深覆合、拔磨牙后关闭间隙、阻生牙、上颌前突(ANB≥5度)的拔牙正畸治疗、磨牙或牙弓远中移动、伴颅颌面畸形、伴颞下颌关节病、正畸-正颌手术联合治疗、舌侧矫治的情况。2.在同一家医疗机构正畸治疗结束，复发病例再次矫治，每例按疗程费用的50%计价收费。3.本项目所称“疗程”指：从错合矫治治疗开始到结束。</t>
  </si>
  <si>
    <t>013105020130000</t>
  </si>
  <si>
    <t>恒牙期Ⅲ类错合矫治费(常规)</t>
  </si>
  <si>
    <t>通过矫治器安装调整进行恒牙期Ⅲ类错合畸形的矫治。</t>
  </si>
  <si>
    <t>1.在同一家医疗机构正畸治疗结束，复发病例再次矫治，每例按疗程费用的50%计价收费。2.本项目所称“疗程”指：从错合矫治治疗开始到结束。3.国家医学中心、国家临床重点专科价格上浮10%.</t>
  </si>
  <si>
    <t>013105020140000</t>
  </si>
  <si>
    <t>恒牙期Ⅲ类错合矫治费(复杂)</t>
  </si>
  <si>
    <t>通过矫治器安装调整进行疑难复杂情况的恒牙期Ⅲ类错合畸形的矫治。</t>
  </si>
  <si>
    <t>1.本项目所称“复杂”指：18岁以上(不含18岁)、开合、Ⅲ度深覆合、3颗以上后牙反合、拔磨牙后关闭间隙、阻生牙、下颌前突(ANB≤0度)的拔牙正畸治疗、磨牙或牙弓远中移动、伴颅颌面畸形、伴颞下颌关节病、正畸-正颌手术联合治疗、舌侧矫治的情况。2.在同一家医疗机构正畸治疗结束，复发病例再次矫治，每例按疗程费用的50%计价收费。3.本项目所称“疗程”指：从错合矫治治疗开始到结束。</t>
  </si>
  <si>
    <t>013105020150000</t>
  </si>
  <si>
    <t>恒牙期I类错合矫形功能治疗费</t>
  </si>
  <si>
    <t>通过针对性矫治器的安装进行恒牙期I类错合畸形的矫形和功能治疗。</t>
  </si>
  <si>
    <t>本项目所称“疗程”指：从错合矫形治疗开始到结束。</t>
  </si>
  <si>
    <t>恒牙期11类错合矫形功能治疗费</t>
  </si>
  <si>
    <t>通过针对性矫治器的安装进行恒牙期II类错合畸形的矫形和功能治疗．</t>
  </si>
  <si>
    <t>1.本项目所称＂疗程”指：从错合矫形治疗开始到结束．2.国家医学中心、国家临床重点专科价格上浮10%.</t>
  </si>
  <si>
    <t>恒牙期皿类错合矫形功能治疗费</t>
  </si>
  <si>
    <t>通过针对性矫治器的安装进行恒牙期III类错合畸形的矫形和功能治疗．</t>
  </si>
  <si>
    <t>新生儿唇脖裂术前治疗费</t>
  </si>
  <si>
    <t>针对婴儿期唇腮裂唇裂术前，通过矫治器安装调整，实现鼻齿槽塑形．</t>
  </si>
  <si>
    <t>所定价格涵盖准备、方案设计、矫治器安装、调整、拆除、处理用物等步骤所需的人力资源和基本物质资源消耗．</t>
  </si>
  <si>
    <t>睡眠呼吸暂停综合征口腔正畸辅助治疗费</t>
  </si>
  <si>
    <t>通过口腔阻酐器安装调整或扩弓活动矫治，减轻阻塞性睡眠呼吸暂停的症状．</t>
  </si>
  <si>
    <r>
      <rPr>
        <sz val="10"/>
        <color rgb="FF181818"/>
        <rFont val="宋体"/>
        <charset val="134"/>
      </rPr>
      <t>所定价格涵盖准备、方案设计、矫治器安装、调整评估、处理用物等步骤所需的人力资源和基本物质资源消耗</t>
    </r>
    <r>
      <rPr>
        <sz val="10"/>
        <color rgb="FF3B3B3B"/>
        <rFont val="宋体"/>
        <charset val="134"/>
      </rPr>
      <t>．</t>
    </r>
  </si>
  <si>
    <t>局部正畸矫治费</t>
  </si>
  <si>
    <t>使用局部矫治器矫治一个象限内的牙齿伸长、倾斜、间隙关闭或开展、微小牙齿移动等矫治．</t>
  </si>
  <si>
    <t>象限·疗程</t>
  </si>
  <si>
    <t>1.全口共4个象限．2.累计收费价格超过全口价格，按照全口价格计价收费．</t>
  </si>
  <si>
    <t>口腔固定保持器安装费</t>
  </si>
  <si>
    <t>为需要正畸治疗后进行固定保持的患者安装固定保持器．</t>
  </si>
  <si>
    <t>所定价格涵盖准备、安装、调试、处理用物等步骤所需的人力资源和基本物质资源消耗．</t>
  </si>
  <si>
    <t>单颌</t>
  </si>
  <si>
    <t>口腔固定保持器拆除费</t>
  </si>
  <si>
    <t>为需要拆除固定保持器的患者去除固定保持器．</t>
  </si>
  <si>
    <t>所定价格涵盖准备、拆除、处理用物等步骤所需的人力资源和基本物质资源消耗．</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</si>
  <si>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</si>
  <si>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</si>
  <si>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</si>
  <si>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1.完成1个疗程计价收费1次；在本医疗机构中开展的矫治不得同时收取设计费．2.不含放射检查费用．</t>
  </si>
  <si>
    <t>正畸支抗钉植入费</t>
  </si>
  <si>
    <r>
      <rPr>
        <sz val="10"/>
        <color rgb="FF181818"/>
        <rFont val="宋体"/>
        <charset val="134"/>
      </rPr>
      <t>通过将正畸支抗钉植入颌骨协助</t>
    </r>
    <r>
      <rPr>
        <sz val="10"/>
        <color rgb="FF2A2A2A"/>
        <rFont val="宋体"/>
        <charset val="134"/>
      </rPr>
      <t>完成正畸治疗．</t>
    </r>
  </si>
  <si>
    <t>所定价格涵盖手术计划、术区准备、消毒、植入、处理用物等步骤所需的人力资源和基本物质资源消耗．</t>
  </si>
  <si>
    <t>每钉</t>
  </si>
  <si>
    <t>正畸支抗钉植入费－儿童（加收）</t>
  </si>
  <si>
    <t>牙根牵引费</t>
  </si>
  <si>
    <t>通过牵引方法将冠根折或根折的外伤牙齿牵引至毅上．</t>
  </si>
  <si>
    <t>所定价格涵盖准备、切开、粘接或制戴、牵引、加力、调整、处理用物等步骤所需的人力资源和基本物质资源消耗．</t>
  </si>
  <si>
    <t>牙</t>
  </si>
  <si>
    <r>
      <rPr>
        <sz val="10"/>
        <color rgb="FF181818"/>
        <rFont val="宋体"/>
        <charset val="134"/>
      </rPr>
      <t>牙髓活力测验</t>
    </r>
    <r>
      <rPr>
        <sz val="10"/>
        <color rgb="FF2A2A2A"/>
        <rFont val="宋体"/>
        <charset val="134"/>
      </rPr>
      <t>费</t>
    </r>
  </si>
  <si>
    <r>
      <rPr>
        <sz val="10"/>
        <color rgb="FF2A2A2A"/>
        <rFont val="宋体"/>
        <charset val="134"/>
      </rPr>
      <t>通过设备检查评</t>
    </r>
    <r>
      <rPr>
        <sz val="10"/>
        <color rgb="FF181818"/>
        <rFont val="宋体"/>
        <charset val="134"/>
      </rPr>
      <t>估牙髓活力状态．</t>
    </r>
  </si>
  <si>
    <t>所定价格涵盖准备、隔离、测验、评估、处理用物等步骤所需的人力资源和基本物质资源消耗．</t>
  </si>
  <si>
    <t>橡皮障隔离费</t>
  </si>
  <si>
    <t>通过专用的橡皮阵套装隔开接受治疗的牙齿与口腔．</t>
  </si>
  <si>
    <r>
      <rPr>
        <sz val="10"/>
        <color rgb="FF181818"/>
        <rFont val="宋体"/>
        <charset val="134"/>
      </rPr>
      <t>所定价格涵盖准备、隔离、处理用</t>
    </r>
    <r>
      <rPr>
        <sz val="10"/>
        <color rgb="FF2A2A2A"/>
        <rFont val="宋体"/>
        <charset val="134"/>
      </rPr>
      <t>物等步骤所需的人力资源和基本物质资源消耗．</t>
    </r>
  </si>
  <si>
    <t>牙体开髓引流费</t>
  </si>
  <si>
    <r>
      <rPr>
        <sz val="10"/>
        <color rgb="FF181818"/>
        <rFont val="宋体"/>
        <charset val="134"/>
      </rPr>
      <t>对于牙髓急症患</t>
    </r>
    <r>
      <rPr>
        <sz val="10"/>
        <color rgb="FF2A2A2A"/>
        <rFont val="宋体"/>
        <charset val="134"/>
      </rPr>
      <t>者仅行开髓引流、</t>
    </r>
    <r>
      <rPr>
        <sz val="10"/>
        <color rgb="FF181818"/>
        <rFont val="宋体"/>
        <charset val="134"/>
      </rPr>
      <t>牙髓摘除以缓解</t>
    </r>
    <r>
      <rPr>
        <sz val="10"/>
        <color rgb="FF2A2A2A"/>
        <rFont val="宋体"/>
        <charset val="134"/>
      </rPr>
      <t>急性疼痛．</t>
    </r>
  </si>
  <si>
    <t>所定价格涵盖准备、开髓、拔髓、处理用物等步骤所需的人力资源和基本物质资源消耗．</t>
  </si>
  <si>
    <t>01儿童加收</t>
  </si>
  <si>
    <t>1.仅限于牙髓急症患者应急处置时收费，在其他牙髓治疗中作为相关项目的价格构成，不单独收费．2.国家医学中心、国家临床重点专科价格上浮10%.</t>
  </si>
  <si>
    <r>
      <rPr>
        <sz val="10"/>
        <color rgb="FF181818"/>
        <rFont val="宋体"/>
        <charset val="134"/>
      </rPr>
      <t>牙体开髓引流</t>
    </r>
    <r>
      <rPr>
        <sz val="10"/>
        <color rgb="FF2A2A2A"/>
        <rFont val="宋体"/>
        <charset val="134"/>
      </rPr>
      <t>费－儿童（加收）</t>
    </r>
  </si>
  <si>
    <t>牙髓失活费</t>
  </si>
  <si>
    <t>通过失活剂去除牙髓的活性．</t>
  </si>
  <si>
    <t>所定价格涵盖准备、开髓、放置失活剂、处理用物等步骤所需的人力资源和基本物质资源消耗．</t>
  </si>
  <si>
    <t>牙髓失活费－儿童（加收）</t>
  </si>
  <si>
    <t>干髓治疗费</t>
  </si>
  <si>
    <t>通过干髓剂使牙髓保持于尸化．</t>
  </si>
  <si>
    <t>所定价格涵盖准备、开髓、去除冠髓、放置于髓剂、处理用物等步骤所需的人力资源和基本物质资源消耗．</t>
  </si>
  <si>
    <t>根管预备费</t>
  </si>
  <si>
    <t>通过清理扩大根管，清除感染坏死牙髓组织，对根管内部进行清理成形．</t>
  </si>
  <si>
    <r>
      <rPr>
        <sz val="10"/>
        <color rgb="FF181818"/>
        <rFont val="宋体"/>
        <charset val="134"/>
      </rPr>
      <t>所定价格涵盖准备、开髓、拨髓、疏通、测量、预备、处理用物等步骤所需的人力资源和基本物质资源消耗</t>
    </r>
    <r>
      <rPr>
        <sz val="10"/>
        <color rgb="FF3B3B3B"/>
        <rFont val="宋体"/>
        <charset val="134"/>
      </rPr>
      <t>．</t>
    </r>
  </si>
  <si>
    <t>01儿童加收11根管异常</t>
  </si>
  <si>
    <t>根管</t>
  </si>
  <si>
    <t>1.本项目所称“根管异常”指：中重度弯曲根管、C型根管、根管间交通枝等特殊根管．根管无明显影像、需要使用8#佳进行疏通、位匣靠后的牙齿（第二或第三磨牙）、张口度小于2指、隔湿困难的牙齿．2.国家医学中心、国家临床重点专科价格上浮10%.</t>
  </si>
  <si>
    <t>根管预备费－儿童（加收）</t>
  </si>
  <si>
    <t>根管预备费－根管异常（加收）</t>
  </si>
  <si>
    <t>根管冲洗费</t>
  </si>
  <si>
    <t>对根管进行冲洗消毒及感染控制．</t>
  </si>
  <si>
    <t>所定价格涵盖准备、冲洗、处理用物等步骤所需的人力资源和基本物质资源消耗．</t>
  </si>
  <si>
    <t>01根管封药费</t>
  </si>
  <si>
    <t>根管冲洗费－根管封药费（扩展）</t>
  </si>
  <si>
    <t>根管充填费</t>
  </si>
  <si>
    <r>
      <rPr>
        <sz val="10"/>
        <color rgb="FF181818"/>
        <rFont val="宋体"/>
        <charset val="134"/>
      </rPr>
      <t>通过向根管内充填，封闭根管系统</t>
    </r>
    <r>
      <rPr>
        <sz val="10"/>
        <color rgb="FF3B3B3B"/>
        <rFont val="宋体"/>
        <charset val="134"/>
      </rPr>
      <t>．</t>
    </r>
  </si>
  <si>
    <t>所定价格涵盖准备、充填、处理用物，必要时加压充填等步骤所需的人力资源和基本物质资源消耗．</t>
  </si>
  <si>
    <t>01乳牙根管充填费</t>
  </si>
  <si>
    <t>1.本项目所称“根管异常”指：中重度弯曲根管、C型根管、根管间交通枝等特殊根管．2.国家医学中心、国家临床重点专科价格上浮10%.</t>
  </si>
  <si>
    <t>根管充填费－儿童（加收）</t>
  </si>
  <si>
    <t>根管充填费－根管异常（加收）</t>
  </si>
  <si>
    <t>根管充填费－乳牙根管充填费（扩展）</t>
  </si>
  <si>
    <t>根管再治疗费</t>
  </si>
  <si>
    <t>针对牙髓治疗后出现的问题进行的治疗．</t>
  </si>
  <si>
    <t>所定价格涵盖准备、取出、建立通道、处理用物等步骤所需的人力资源和基本物质资源消耗．</t>
  </si>
  <si>
    <t>根管内异物取出费</t>
  </si>
  <si>
    <t>取出存留在根管内的异物．</t>
  </si>
  <si>
    <t>所定价格涵盖准备、确定位置、取出、处理用物等步骤所需的人力资源和基本物质资源消耗．</t>
  </si>
  <si>
    <t>01根尖段异物取出</t>
  </si>
  <si>
    <r>
      <rPr>
        <sz val="10"/>
        <color rgb="FF181818"/>
        <rFont val="宋体"/>
        <charset val="134"/>
      </rPr>
      <t>国家医学中心、国家临床重点专科价格上浮10%</t>
    </r>
    <r>
      <rPr>
        <sz val="10"/>
        <color rgb="FF3B3B3B"/>
        <rFont val="宋体"/>
        <charset val="134"/>
      </rPr>
      <t>.</t>
    </r>
  </si>
  <si>
    <t>根管内异物取出费－根尖段异物取出（加收）</t>
  </si>
  <si>
    <t>根尖诱导成形费</t>
  </si>
  <si>
    <r>
      <rPr>
        <sz val="10"/>
        <color rgb="FF282828"/>
        <rFont val="宋体"/>
        <charset val="134"/>
      </rPr>
      <t>诱导牙根继续发</t>
    </r>
    <r>
      <rPr>
        <sz val="10"/>
        <color rgb="FF181818"/>
        <rFont val="宋体"/>
        <charset val="134"/>
      </rPr>
      <t>育或根尖封闭．</t>
    </r>
  </si>
  <si>
    <t>所定价格涵盖手术计划、术区准备、消毒、开髓、去除、干燥、诱导、处理用物等步骤所需的人力资源和基本物质资源消耗．</t>
  </si>
  <si>
    <t>根尖诱导成形费－儿童（加收）</t>
  </si>
  <si>
    <t>根尖屏障手术费</t>
  </si>
  <si>
    <t>针对根尖孔未闭合或较宽大的情况，封闭根尖段建立屏障．</t>
  </si>
  <si>
    <t>所定价格涵盖手术计划、术区准备、清洁、填充、处理用物等步骤所需的人力资源和基本物质资源消耗．</t>
  </si>
  <si>
    <t>01髓腔穿孔修补费</t>
  </si>
  <si>
    <r>
      <rPr>
        <sz val="10"/>
        <color rgb="FF181818"/>
        <rFont val="宋体"/>
        <charset val="134"/>
      </rPr>
      <t>国家医学中心、国家临床重点专科</t>
    </r>
    <r>
      <rPr>
        <sz val="10"/>
        <color rgb="FF282828"/>
        <rFont val="宋体"/>
        <charset val="134"/>
      </rPr>
      <t>价格上浮10%.</t>
    </r>
  </si>
  <si>
    <r>
      <rPr>
        <sz val="10"/>
        <color rgb="FF181818"/>
        <rFont val="宋体"/>
        <charset val="134"/>
      </rPr>
      <t>根尖屏障手术</t>
    </r>
    <r>
      <rPr>
        <sz val="10"/>
        <color rgb="FF282828"/>
        <rFont val="宋体"/>
        <charset val="134"/>
      </rPr>
      <t>费－儿童（加收）</t>
    </r>
  </si>
  <si>
    <t>根尖屏障手术费－髓腔穿孔修补费（扩展）</t>
  </si>
  <si>
    <t>根尖手术费</t>
  </si>
  <si>
    <t>通过手术对根尖进行治疗．</t>
  </si>
  <si>
    <r>
      <rPr>
        <sz val="10"/>
        <color rgb="FF181818"/>
        <rFont val="宋体"/>
        <charset val="134"/>
      </rPr>
      <t>所定价格涵盖手术计划、术区准</t>
    </r>
    <r>
      <rPr>
        <sz val="10"/>
        <color rgb="FF282828"/>
        <rFont val="宋体"/>
        <charset val="134"/>
      </rPr>
      <t>备、消毒、切开、翻瓣、切除、倒预备、倒充填、复位缝合、处理用物等步骤所需的人力资源和基本物质资源消耗．</t>
    </r>
  </si>
  <si>
    <t>01复杂根尖手术</t>
  </si>
  <si>
    <t>1.本项目所称“复杂根尖手术”指：根尖周病损累及邻近重要组织结构（上颌窦、频孔、下颌神经管、切牙孔）、骨壁完整根尖定位困难的情况．2.国家医学中心、国家临床重点专科价格上浮10%.</t>
  </si>
  <si>
    <r>
      <rPr>
        <sz val="10"/>
        <color rgb="FF282828"/>
        <rFont val="宋体"/>
        <charset val="134"/>
      </rPr>
      <t>根尖手术费－</t>
    </r>
    <r>
      <rPr>
        <sz val="10"/>
        <color rgb="FF181818"/>
        <rFont val="宋体"/>
        <charset val="134"/>
      </rPr>
      <t>儿童（加收）</t>
    </r>
  </si>
  <si>
    <t>根尖手术费－复杂根尖手术（加收）</t>
  </si>
  <si>
    <r>
      <rPr>
        <sz val="10"/>
        <color rgb="FF181818"/>
        <rFont val="宋体"/>
        <charset val="134"/>
      </rPr>
      <t>活髓保存治疗</t>
    </r>
    <r>
      <rPr>
        <sz val="10"/>
        <color rgb="FF282828"/>
        <rFont val="宋体"/>
        <charset val="134"/>
      </rPr>
      <t>费</t>
    </r>
  </si>
  <si>
    <t>通过处理暴露牙髓清除感染，保存正常牙髓．</t>
  </si>
  <si>
    <t>所定价格涵盖准备、去除、冲洗、盖髓、处理用物等步骤所需的人力资源和基本物质资源消耗．</t>
  </si>
  <si>
    <t>01间接盖髓减收</t>
  </si>
  <si>
    <t>活髓保存治疗费－间接盖髓（减收）</t>
  </si>
  <si>
    <t>牙髓再生治疗费</t>
  </si>
  <si>
    <t>清除根管内感染，借助多种方式促进根管内牙髓样组织再生及牙根生长．</t>
  </si>
  <si>
    <t>所定价格涵盖准备、根管内引血、封闭、处理用物等步骤所需的人力资源和基本物质资源消耗．</t>
  </si>
  <si>
    <t>01自体血支架制备</t>
  </si>
  <si>
    <t>牙髓再生治疗费－自体血支架制备（加收）</t>
  </si>
  <si>
    <t>牙体缺损直接粘接修复费</t>
  </si>
  <si>
    <t>通过使用填充材料修复牙体缺损．</t>
  </si>
  <si>
    <r>
      <rPr>
        <sz val="10"/>
        <color rgb="FF181818"/>
        <rFont val="宋体"/>
        <charset val="134"/>
      </rPr>
      <t>所定价格涵盖准备、去颉、窝洞制备、充填、粘接固化、塑形、调合</t>
    </r>
    <r>
      <rPr>
        <sz val="10"/>
        <color rgb="FF363636"/>
        <rFont val="宋体"/>
        <charset val="134"/>
      </rPr>
      <t>、</t>
    </r>
    <r>
      <rPr>
        <sz val="10"/>
        <color rgb="FF181818"/>
        <rFont val="宋体"/>
        <charset val="134"/>
      </rPr>
      <t>磨光</t>
    </r>
    <r>
      <rPr>
        <sz val="10"/>
        <color rgb="FF363636"/>
        <rFont val="宋体"/>
        <charset val="134"/>
      </rPr>
      <t>、</t>
    </r>
    <r>
      <rPr>
        <sz val="10"/>
        <color rgb="FF181818"/>
        <rFont val="宋体"/>
        <charset val="134"/>
      </rPr>
      <t>抛光、处理用物等步骤所需的人力资源和基本物质资源消耗．</t>
    </r>
  </si>
  <si>
    <t>01儿童加收11牙体大面积缺损加收12暂封减收13银泵合金充填减收</t>
  </si>
  <si>
    <t>1.本项目所称＂牙体大面积缺损＇，指：累及2个及以上牙面的情况．2.国家医学中心、国家临床重点专科价格上浮10%.</t>
  </si>
  <si>
    <t>牙体缺损直接粘接修复费－儿童（加收）</t>
  </si>
  <si>
    <t>牙体缺损直接粘接修复费－牙体大面积缺损（加收）</t>
  </si>
  <si>
    <t>牙体缺损直接粘接修复费－暂封（减收）</t>
  </si>
  <si>
    <t>牙体缺损直接粘接修复费－银泵合金充填（减收）</t>
  </si>
  <si>
    <t>窝沟封闭费</t>
  </si>
  <si>
    <t>封闭牙齿窝沟．</t>
  </si>
  <si>
    <t>所定价格涵盖准备、清洁、冲洗、酸蚀、于燥、封闭窝沟、光照固化、调合、抛光、处理用物等步骤所需的人力资源和基本物质资源消耗．</t>
  </si>
  <si>
    <t>氟防龋治疗费</t>
  </si>
  <si>
    <r>
      <rPr>
        <sz val="10"/>
        <color rgb="FF181818"/>
        <rFont val="宋体"/>
        <charset val="134"/>
      </rPr>
      <t>通过涂布</t>
    </r>
    <r>
      <rPr>
        <sz val="10"/>
        <color rgb="FF3A3A3A"/>
        <rFont val="宋体"/>
        <charset val="134"/>
      </rPr>
      <t>氝</t>
    </r>
    <r>
      <rPr>
        <sz val="10"/>
        <color rgb="FF181818"/>
        <rFont val="宋体"/>
        <charset val="134"/>
      </rPr>
      <t>化物预防颉齿．</t>
    </r>
  </si>
  <si>
    <t>所定价格涵盖准备、清洁、涂布、处理用物等步骤所需的人力资源和基本物质资源消耗．</t>
  </si>
  <si>
    <t>牙脱敏治疗费</t>
  </si>
  <si>
    <t>通过各种方式处理牙面降低牙敏感症状．</t>
  </si>
  <si>
    <t>所定价格涵盖准备、清洁、脱敏、处理用物等步骤所需的人力资源和基本物质资源消耗．</t>
  </si>
  <si>
    <t>预成冠修复费</t>
  </si>
  <si>
    <t>针对大面积牙体缺损进行预成冠修复．</t>
  </si>
  <si>
    <t>所定价格涵盖准备、预备、预成冠调改、粘结、调合、处理用物等步骤所需的人力资源和基本物质资源消耗．</t>
  </si>
  <si>
    <t>牙拔除费</t>
  </si>
  <si>
    <r>
      <rPr>
        <sz val="10"/>
        <color rgb="FF181818"/>
        <rFont val="宋体"/>
        <charset val="134"/>
      </rPr>
      <t>通过手术拔除牙齿</t>
    </r>
    <r>
      <rPr>
        <sz val="10"/>
        <color rgb="FF3F3F3F"/>
        <rFont val="宋体"/>
        <charset val="134"/>
      </rPr>
      <t>．</t>
    </r>
  </si>
  <si>
    <t>所定价格涵盖手术计划、术区准备、消毒、分离哉、拔除、取出根、冲洗、清理、止血、处理用物等步骤所需的人力资源和基本物质资源消耗．</t>
  </si>
  <si>
    <t>01复杂牙拔除</t>
  </si>
  <si>
    <t>I.本项目所称“复杂牙拔除”指：正常位牙齿因解剖变异、死髓或牙体治疗后其脆性增加、局部慢性炎症刺激使牙槽骨发生致密性改变、牙骨间骨性结合的情况．2.国家医学中心、国家临床重点专科价格上浮10%.</t>
  </si>
  <si>
    <t>牙拔除费－儿童（加收）</t>
  </si>
  <si>
    <t>乳牙皿度松动减收90%</t>
  </si>
  <si>
    <t>牙拔除费－复杂牙拔除（加收）</t>
  </si>
  <si>
    <t>牙拨除费－乳牙拔除（减收）</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</si>
  <si>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</si>
  <si>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</si>
  <si>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</si>
  <si>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01复杂阻生牙拨除</t>
  </si>
  <si>
    <t>01多生牙拔除费</t>
  </si>
  <si>
    <t>1.本项目所称“复杂阻生牙拨除“指：被牙禄覆盖的各类阻生牙、完全埋裁颌骨内的各类阻生牙及多生牙的情况．2.国家医学中心、国家临床重点专科价格上浮10%.</t>
  </si>
  <si>
    <t>阻生牙拔除费－儿童（加收）</t>
  </si>
  <si>
    <t>阻生牙拨除费－复杂阻生牙拔除（加收）</t>
  </si>
  <si>
    <t>阻生牙拔除费一多生牙拔除费（扩展）</t>
  </si>
  <si>
    <t>阻生牙开窗助萌费</t>
  </si>
  <si>
    <t>通过手术去除阻生牙萌出阻力．</t>
  </si>
  <si>
    <t>所定价格涵盖手术计划、术区准备、消毒、切开、显露牙、冲洗、缝合、止血、处理用物等步骤所需的人力资源和基本物质资源消耗．</t>
  </si>
  <si>
    <t>01骨阻生开窗助萌</t>
  </si>
  <si>
    <t>阻生牙开窗助萌费－儿童（加收）</t>
  </si>
  <si>
    <t>阻生牙开窗助萌费－骨阻生开窗助萌（加收）</t>
  </si>
  <si>
    <t>阻生牙牙冠切除费</t>
  </si>
  <si>
    <t>通过手术切除阻生牙牙冠．</t>
  </si>
  <si>
    <t>所定价格涵盖手术计划、术区准备、消毒、切开、分离、去骨、截冠、修整、冲洗、缝合、止血、处理用物等步骤所需的人力资源和基本物质资源消耗．</t>
  </si>
  <si>
    <t>阻生牙牙冠切除费－儿童（加收）</t>
  </si>
  <si>
    <t>拔牙创骚刮费</t>
  </si>
  <si>
    <t>通过手术对拔牙创愈合不良的创面进行搭刮、清创处理．</t>
  </si>
  <si>
    <t>所定价格涵盖手术计划、术区准备、消毒、切开翻瓣、分离、刮除、冲洗、填塞、缝合、处理用物等步骤所需的人力资源和基本物质资源消耗．</t>
  </si>
  <si>
    <t>仅限于拔牙创愈合不良情况时收费，其他情况不单独收费．</t>
  </si>
  <si>
    <t>拔牙创骚刮费－儿童（加收）</t>
  </si>
  <si>
    <t>阻生牙龈瓣修整费</t>
  </si>
  <si>
    <t>用于保留、开窗助萌阻生牙修整跋瓣形态，预防感染、创口愈合、维持牙根形态．</t>
  </si>
  <si>
    <t>所定价格涵盖手术计划、术区准备、消毒、修整、成形、缝合、处理用物等步骤所需的人力资源和基本物质资源消耗．</t>
  </si>
  <si>
    <t>阻生牙龈瓣修整费－儿童（加收）</t>
  </si>
  <si>
    <t>预防性拔牙窝组织封闭费</t>
  </si>
  <si>
    <r>
      <rPr>
        <sz val="10"/>
        <color rgb="FF181818"/>
        <rFont val="宋体"/>
        <charset val="134"/>
      </rPr>
      <t>拔牙后即刻封闭拔牙窝</t>
    </r>
    <r>
      <rPr>
        <sz val="10"/>
        <color rgb="FF343434"/>
        <rFont val="宋体"/>
        <charset val="134"/>
      </rPr>
      <t>．</t>
    </r>
  </si>
  <si>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</si>
  <si>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该项目指针对使用抗骨吸收药物、抗血管生成药物、放疗后、骨结构不良、硬化性骨髓炎等牙槽窝愈合不良高危患者，以及拔牙后牙槽崝保存．</t>
  </si>
  <si>
    <t>预防性拔牙窝组织封闭费－儿童（加收）</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</si>
  <si>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</si>
  <si>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</si>
  <si>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</si>
  <si>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01牙再植费</t>
  </si>
  <si>
    <t>牙移植费－儿童（加收）</t>
  </si>
  <si>
    <t>牙移植费－牙再植费（扩展）</t>
  </si>
  <si>
    <t>口腔良性肿物切除费</t>
  </si>
  <si>
    <t>通过手术切除口腔内的良性肿物．</t>
  </si>
  <si>
    <t>所定价格涵盖手术计划、术区准备、消毒、切开、解剖、分离、探查切除、冲洗、止血、缝合、处理用物等步骤所需的人力资源和基本物质资源消耗．</t>
  </si>
  <si>
    <t>01软组织缺损修复</t>
  </si>
  <si>
    <t>病灶</t>
  </si>
  <si>
    <t>口腔良性肿物切除费－儿童（加收）</t>
  </si>
  <si>
    <t>口腔良性肿物切除费－软组织缺损修复（加收）</t>
  </si>
  <si>
    <t>513306020130021</t>
  </si>
  <si>
    <t>口腔良性肿物切除费－黏膜切取术（减收）</t>
  </si>
  <si>
    <t>口腔系带修整费</t>
  </si>
  <si>
    <t>通过手术调整口腔系带．</t>
  </si>
  <si>
    <t>所定价格涵盖手术计划、术区准备、消毒、切开、修整、缝合、处理用物等步骤所需的人力资源和基本物质资源消耗．</t>
  </si>
  <si>
    <t>口腔系带修整费－儿童（加收）</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</si>
  <si>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</si>
  <si>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</si>
  <si>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</si>
  <si>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不包含拨牙费用．</t>
  </si>
  <si>
    <t>颌骨病变刮切费（口内）－儿童（加收）</t>
  </si>
  <si>
    <t>颌骨病变刮切费（颌面部）</t>
  </si>
  <si>
    <t>口外入路治疗颌骨内的良性病变．</t>
  </si>
  <si>
    <t>不包含拔牙费用．</t>
  </si>
  <si>
    <t>颌骨病变刮切费（颌面部）－儿童（加收）</t>
  </si>
  <si>
    <t>颌骨囊肿减压费</t>
  </si>
  <si>
    <t>通过手术开窗对颌骨囊肿减压．</t>
  </si>
  <si>
    <t>所定价格涵盖手术计划、术区准备、消毒、切开、翻瓣、去骨壁、冲洗、缝合、处理用物等步骤所需的人力资源和基本物质资源消耗．不包含拔牙费用．</t>
  </si>
  <si>
    <t>颌骨囊肿减压费－儿童（加收）</t>
  </si>
  <si>
    <t>口腔牵引钉植入费</t>
  </si>
  <si>
    <t>将牵引钉植入颌骨．</t>
  </si>
  <si>
    <t>本项目所称“次＂：以3枚牵引钉为基础收费，每增加1枚加收30%,以10枚牵引钉费用封顶．</t>
  </si>
  <si>
    <t>口腔牵引钉植入费－儿童（加收）</t>
  </si>
  <si>
    <t>口腔牵引钉取出费</t>
  </si>
  <si>
    <t>将植入的牵引钉取出．</t>
  </si>
  <si>
    <t>所定价格涵盖手术计划、术区准备、消毒、拆除、缝合、处理用物等步骤所需的人力资源和基本物质资源消耗．</t>
  </si>
  <si>
    <t>口腔牵引钉取出费－儿童（加收）</t>
  </si>
  <si>
    <t>口腔骨突修整费</t>
  </si>
  <si>
    <t>修整骨尖、骨峭或骨隆突．</t>
  </si>
  <si>
    <t>所定价格涵盖手术计划、术区准备、消毒、切开、去骨、打磨、冲洗、缝合、处理用物等步骤所需的人力资源和基本物质资源消耗．</t>
  </si>
  <si>
    <t>01复杂骨突</t>
  </si>
  <si>
    <t>本项目所称“复杂骨突”指：一侧上颌结节、下颌舌侧隆突修整、肘部隆突的情况．</t>
  </si>
  <si>
    <t>口腔骨突修整费－儿童（加收）</t>
  </si>
  <si>
    <t>口腔骨突修整费－复杂骨突（加收）</t>
  </si>
  <si>
    <t>颌间结扎费</t>
  </si>
  <si>
    <t>通过各种方式将上下颌骨问结扎．</t>
  </si>
  <si>
    <t>所定价格涵盖准备、手法复位、固定、结扎、处理用物等步骤所需的人力资源和基本物质资源消耗．不包含牵引钉植入、安装固定装置等．</t>
  </si>
  <si>
    <t>颌间结扎费－儿童（加收）</t>
  </si>
  <si>
    <t>颌间结扎拆除费</t>
  </si>
  <si>
    <t>拆除颌间结扎装置．</t>
  </si>
  <si>
    <t>颌间结扎拆除费－儿童（加收）</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</si>
  <si>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</si>
  <si>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</si>
  <si>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</si>
  <si>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牙槽突骨折复位固定费－儿童（加收）</t>
  </si>
  <si>
    <t>脓肿切开引流费（口内）</t>
  </si>
  <si>
    <t>切开口内浅表脓肿引流．</t>
  </si>
  <si>
    <t>所定价格涵盖手术计划、术区准备、消毒、切开、引流、冲洗、处理用物等步骤所需的人力资源和基本物质资源消耗．</t>
  </si>
  <si>
    <t>脓肿切开引流费（口内）－儿童（加收）</t>
  </si>
  <si>
    <t>脓肿切开引流费（颌面部）</t>
  </si>
  <si>
    <t>切开颌面部浅表脓肿引流．</t>
  </si>
  <si>
    <t>所定价格涵盖手术计划、术区准备、消毒、切开、引流、冲洗、处理用物等步骤所需的人力资源和基本物质资源消耗．不包含口腔颌面颈部间隙感染．</t>
  </si>
  <si>
    <t>脓肿切开引流费（颌面部）－儿童（加收）</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</si>
  <si>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</si>
  <si>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</si>
  <si>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</si>
  <si>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01下牙槽神经移位</t>
  </si>
  <si>
    <t>1.不与同部位其他手术同时收取．2.计价单位”次”指“单侧＂．</t>
  </si>
  <si>
    <t>下牙槽神经探查解剖费－儿童（加收）</t>
  </si>
  <si>
    <t>下牙槽神经探查解剖费－下牙槽神经移位（加收）</t>
  </si>
  <si>
    <t>口腔上颌窦搂修补费</t>
  </si>
  <si>
    <t>通过手术修补口腔上颌窦交通或口腔上颌窦痰．</t>
  </si>
  <si>
    <t>所定价格涵盖手术计划、术区准备、消毒、切开、切除、清创损刮、分离、去骨、减张、修整、冲洗、止血、填塞、缝合、处理用物等步骤所需的人力资源和基本物质资源消耗．</t>
  </si>
  <si>
    <t>口腔上颌窦痰修补费－儿童（加收）</t>
  </si>
  <si>
    <t>口内游离软组织移植费</t>
  </si>
  <si>
    <t>通过手术移植局部游离软组织．</t>
  </si>
  <si>
    <t>所定价格涵盖手术计划、术区准备、消毒、切开、翻瓣、制备、固定、缝合及处置、处理用物等步骤所需的人力资源和基本物质资源消耗．</t>
  </si>
  <si>
    <t>牙位</t>
  </si>
  <si>
    <t>口内游离软组织移植费－儿童（加收）</t>
  </si>
  <si>
    <t>颌位转移检查费</t>
  </si>
  <si>
    <r>
      <rPr>
        <sz val="10"/>
        <color rgb="FF262626"/>
        <rFont val="宋体"/>
        <charset val="134"/>
      </rPr>
      <t>通过装置确定和</t>
    </r>
    <r>
      <rPr>
        <sz val="10"/>
        <color rgb="FF161616"/>
        <rFont val="宋体"/>
        <charset val="134"/>
      </rPr>
      <t>转移颌位关系，对</t>
    </r>
    <r>
      <rPr>
        <sz val="10"/>
        <color rgb="FF262626"/>
        <rFont val="宋体"/>
        <charset val="134"/>
      </rPr>
      <t>颌位关系进行检查和评价．</t>
    </r>
  </si>
  <si>
    <t>所定价格涵盖准备、检查、颌位确定、颌位转移、建立牙合架、重建颌位关系、美学分析、牙齿排列分析、咬合关系分析、颌位分析、处理用物等步骤所需的人力资源和基本物质资源消耗．</t>
  </si>
  <si>
    <r>
      <rPr>
        <sz val="10"/>
        <color rgb="FF161616"/>
        <rFont val="宋体"/>
        <charset val="134"/>
      </rPr>
      <t>临时固定修复</t>
    </r>
    <r>
      <rPr>
        <sz val="10"/>
        <color rgb="FF262626"/>
        <rFont val="宋体"/>
        <charset val="134"/>
      </rPr>
      <t>费</t>
    </r>
  </si>
  <si>
    <r>
      <rPr>
        <sz val="10"/>
        <color rgb="FF161616"/>
        <rFont val="宋体"/>
        <charset val="134"/>
      </rPr>
      <t>在口内制作临时</t>
    </r>
    <r>
      <rPr>
        <sz val="10"/>
        <color rgb="FF262626"/>
        <rFont val="宋体"/>
        <charset val="134"/>
      </rPr>
      <t>修复体．</t>
    </r>
  </si>
  <si>
    <t>所定价格涵盖准备、预备、制作、试戴、咬合检查、调整、抛光、清洁消毒、粘接、处理用物等步骤所需的人力资源和基本物质资源消耗．</t>
  </si>
  <si>
    <r>
      <rPr>
        <sz val="10"/>
        <color rgb="FF262626"/>
        <rFont val="宋体"/>
        <charset val="134"/>
      </rPr>
      <t>修复体固定修</t>
    </r>
    <r>
      <rPr>
        <sz val="10"/>
        <color rgb="FF161616"/>
        <rFont val="宋体"/>
        <charset val="134"/>
      </rPr>
      <t>复费</t>
    </r>
  </si>
  <si>
    <t>通过固定修复体完成牙体缺损或牙列缺损修复．</t>
  </si>
  <si>
    <r>
      <rPr>
        <sz val="10"/>
        <color rgb="FF161616"/>
        <rFont val="宋体"/>
        <charset val="134"/>
      </rPr>
      <t>所定价格涵盖准备、预备、取印模和模型制备、取咬合关系、比色、试戴、调改、粘固、处理用物等步</t>
    </r>
    <r>
      <rPr>
        <sz val="10"/>
        <color rgb="FF262626"/>
        <rFont val="宋体"/>
        <charset val="134"/>
      </rPr>
      <t>骤所需的人力资源和基本物质资源消耗．</t>
    </r>
  </si>
  <si>
    <t>01即刻修复11复杂修复体固定修复</t>
  </si>
  <si>
    <t>1.本项目所称“复杂修复体固定修复”指：II度及以上深覆牙合、中度异色牙、固定修复牙位4颗及以上、牙槽骨重度吸收（大于根长1/3)、伴颓下颌关节病、冠短（至少一面低于5mm)的情况．2.国家医学中心、国家临床重点专科价格上浮10%.</t>
  </si>
  <si>
    <t>修复体固定修复费－即刻修复（加收）</t>
  </si>
  <si>
    <t>修复体固定修复费－复杂修复体固定修复（加收）</t>
  </si>
  <si>
    <t>桩核修复费</t>
  </si>
  <si>
    <r>
      <rPr>
        <sz val="10"/>
        <color rgb="FF262626"/>
        <rFont val="宋体"/>
        <charset val="134"/>
      </rPr>
      <t>通过桩核修复牙</t>
    </r>
    <r>
      <rPr>
        <sz val="10"/>
        <color rgb="FF161616"/>
        <rFont val="宋体"/>
        <charset val="134"/>
      </rPr>
      <t>体缺损．</t>
    </r>
  </si>
  <si>
    <t>所定价格涵盖准备、预备、清理、预备、试戴、消毒、塑核或粘固、桩核修整、处理用物等步骤所需的人力资源和基本物质资源消耗．</t>
  </si>
  <si>
    <t>01一体化纤维桩核</t>
  </si>
  <si>
    <t>桩核修复费－一体化纤维桩核（加收）</t>
  </si>
  <si>
    <t>附着体修复费</t>
  </si>
  <si>
    <r>
      <rPr>
        <sz val="10"/>
        <color rgb="FF262626"/>
        <rFont val="宋体"/>
        <charset val="134"/>
      </rPr>
      <t>通过附着体完成</t>
    </r>
    <r>
      <rPr>
        <sz val="10"/>
        <color rgb="FF161616"/>
        <rFont val="宋体"/>
        <charset val="134"/>
      </rPr>
      <t>固定活动联合修</t>
    </r>
    <r>
      <rPr>
        <sz val="10"/>
        <color rgb="FF262626"/>
        <rFont val="宋体"/>
        <charset val="134"/>
      </rPr>
      <t>复中的固定修复</t>
    </r>
    <r>
      <rPr>
        <sz val="10"/>
        <color rgb="FF161616"/>
        <rFont val="宋体"/>
        <charset val="134"/>
      </rPr>
      <t>部分．</t>
    </r>
  </si>
  <si>
    <t>所定价格涵盖准备、预备、清理、预备、消毒、取印模、模型制备、比色、试戴、调改、粘固、处理用物等步骤所需的人力资源和基本物质资源消耗．</t>
  </si>
  <si>
    <t>01套筒冠修复费</t>
  </si>
  <si>
    <t>013105170080100</t>
  </si>
  <si>
    <t>附着体修复费-套筒冠修复费(扩展)</t>
  </si>
  <si>
    <t>013105170090000</t>
  </si>
  <si>
    <t>全口义齿修复费</t>
  </si>
  <si>
    <t>通过全口义齿修复牙列缺失。</t>
  </si>
  <si>
    <t>所定价格涵盖准备、取印模、制备、确定颌位关系、试排牙蜡型、试戴、调改、处理用物等步骤所需的人力资源和基本物质资源消耗。</t>
  </si>
  <si>
    <t>01复杂全口义齿修复</t>
  </si>
  <si>
    <t>1.本项目所称“复杂全口义齿修复”指：牙槽骨重度吸收(Ⅱ-IV级)、伴颞下颌关节病、覆盖义齿的情况。2.国家医学中心、国家临床重点专科价格上浮10%。</t>
  </si>
  <si>
    <t>013105170090001</t>
  </si>
  <si>
    <t>全口义齿修复费-复杂全口义齿修复(加收)</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</si>
  <si>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</si>
  <si>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</si>
  <si>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</si>
  <si>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</si>
  <si>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</si>
  <si>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</si>
  <si>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</si>
  <si>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</si>
  <si>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</si>
  <si>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01复杂铸造支架可摘局部义齿修复</t>
  </si>
  <si>
    <t>1.本项目所称“复杂铸造支架可摘局部义齿修复”指：单颌缺失牙10颗及以上、牙槽骨重度吸收(Ⅱ-IV级)、Ⅱ度及以上深覆合、余留牙存在中重度牙周病(牙槽骨吸收大于1/3的牙齿数目占一半以上)、关节盘移位或骨关节病、牙周夹板的情况。2.附加牙合垫或牙周夹板按牙位计价收费。3.国家医学中心、国家临床重点专科价格上浮10%.</t>
  </si>
  <si>
    <t>013105170110001</t>
  </si>
  <si>
    <t>铸造支架可摘局部义齿修复费-复杂铸造支架可摘局部义齿修复(加收)</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</si>
  <si>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</si>
  <si>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</si>
  <si>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</si>
  <si>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</si>
  <si>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每件</t>
  </si>
  <si>
    <t>国家医学中心、国家临床重点专科价格上浮10%。</t>
  </si>
  <si>
    <t>颌骨／腮部缺损质复体修复费（复杂）</t>
  </si>
  <si>
    <t>通过质复体修复复杂情况的颌骨／软房缺损．</t>
  </si>
  <si>
    <t>所定价格涵盖准备、预备、取印模、制备、试戴、取颌位记录、调改、处理用物等步骤所需的人力资源和基本物质资源消耗．</t>
  </si>
  <si>
    <t>1.本项目所称“复杂”指：口鼻腔穿通、下颌骨连续性丧失、单颌缺失10颗牙及以上、伴软房缺损、伴面部缺损、下颌带翼导板、腮护板加辅助放疗装置、全上颌缺失修复的情况．2.国家医学中心、国家临床重点专科价格上浮10%.</t>
  </si>
  <si>
    <t>面部缺损质复体修复费</t>
  </si>
  <si>
    <t>通过质复体修复面部缺损．</t>
  </si>
  <si>
    <r>
      <rPr>
        <sz val="10"/>
        <color rgb="FF181818"/>
        <rFont val="宋体"/>
        <charset val="134"/>
      </rPr>
      <t>所定价格涵盖准备、印模、制备、个性化比色、试戴、个性化上色、调改、处理用物等步骤所需的人力资源和基本物质资源消耗</t>
    </r>
    <r>
      <rPr>
        <sz val="10"/>
        <color rgb="FF3D3D3D"/>
        <rFont val="宋体"/>
        <charset val="134"/>
      </rPr>
      <t>．</t>
    </r>
  </si>
  <si>
    <t>1.如面部缺损涉及多个器官，如眼、耳、鼻缺损，每增加1个器官，按件叠加计价收费．2.国家医学中心、国家临床重点专科价格上浮10%.</t>
  </si>
  <si>
    <t>咬合板治疗费</t>
  </si>
  <si>
    <t>通过戴入咬合板调整咬合关系．</t>
  </si>
  <si>
    <t>所定价格涵盖准备、取印模、制备、试戴、调改、处理用物等步骤所需的人力资源和基本物质资源消耗．</t>
  </si>
  <si>
    <t>01减材／增材咬合板加收02弹性咬合板减收</t>
  </si>
  <si>
    <t>咬合板治疗费－减材／增材咬合板（加收）</t>
  </si>
  <si>
    <t>咬合板治疗费－弹性咬合板（减收）</t>
  </si>
  <si>
    <t>修复体拆除费</t>
  </si>
  <si>
    <t>对固定在口内的修复体进行拆除．</t>
  </si>
  <si>
    <t>所定价格涵盖准备、修复体拆除、处理用物等步骤所需的人力资源和基本物质资源消耗．</t>
  </si>
  <si>
    <t>修复体</t>
  </si>
  <si>
    <t>修复体维护费</t>
  </si>
  <si>
    <r>
      <rPr>
        <sz val="10"/>
        <color rgb="FF181818"/>
        <rFont val="宋体"/>
        <charset val="134"/>
      </rPr>
      <t>对修复体进行调改、修补、再粘接等维护</t>
    </r>
    <r>
      <rPr>
        <sz val="10"/>
        <color rgb="FF3D3D3D"/>
        <rFont val="宋体"/>
        <charset val="134"/>
      </rPr>
      <t>．</t>
    </r>
  </si>
  <si>
    <t>所定价格涵盖准备、取印模、模型制备、修补、试戴、调改、再粘接、处理用物等步骤所需的人力资源和基本物质资源消耗．</t>
  </si>
  <si>
    <t>I.修理卡环和基托按涉及牙位计价收费．2.此项适用于非保修保质期内的修复体维护．</t>
  </si>
  <si>
    <t>全口牙周系统检查费</t>
  </si>
  <si>
    <t>通过设备对牙周进行系统检查，并完成系统表记录．</t>
  </si>
  <si>
    <t>所定价格涵盖准备、牙周风险评估、记录、处理用物等步骤所需的人力资源和基本物质资源消耗．</t>
  </si>
  <si>
    <t>512406000030100</t>
  </si>
  <si>
    <t>全口牙周系统检查费－口腔黏膜病系统检查费（扩展）</t>
  </si>
  <si>
    <t>牙周探诊费</t>
  </si>
  <si>
    <t>通过牙周专用刻度探针进行牙周袋深度的测量和判定并记录．</t>
  </si>
  <si>
    <r>
      <rPr>
        <sz val="10"/>
        <color rgb="FF181818"/>
        <rFont val="宋体"/>
        <charset val="134"/>
      </rPr>
      <t>所定价格涵盖准备、牙周探诊、测</t>
    </r>
    <r>
      <rPr>
        <sz val="10"/>
        <color rgb="FF282828"/>
        <rFont val="宋体"/>
        <charset val="134"/>
      </rPr>
      <t>量、记录、处理用物等步骤所需的人力资源和基本物质资源消耗．</t>
    </r>
  </si>
  <si>
    <t>不与“全口牙周系统检查费”同时收取．</t>
  </si>
  <si>
    <r>
      <rPr>
        <sz val="10"/>
        <color rgb="FF181818"/>
        <rFont val="宋体"/>
        <charset val="134"/>
      </rPr>
      <t>牙周指数检查</t>
    </r>
    <r>
      <rPr>
        <sz val="10"/>
        <color rgb="FF282828"/>
        <rFont val="宋体"/>
        <charset val="134"/>
      </rPr>
      <t>费</t>
    </r>
  </si>
  <si>
    <t>检查并记录菌斑指数、出血指数、松动度、根分叉病变．</t>
  </si>
  <si>
    <r>
      <rPr>
        <sz val="10"/>
        <color rgb="FF282828"/>
        <rFont val="宋体"/>
        <charset val="134"/>
      </rPr>
      <t>所定价格涵盖准备、检查、判读、</t>
    </r>
    <r>
      <rPr>
        <sz val="10"/>
        <color rgb="FF181818"/>
        <rFont val="宋体"/>
        <charset val="134"/>
      </rPr>
      <t>记录、处理用物等步骤所需的人力</t>
    </r>
    <r>
      <rPr>
        <sz val="10"/>
        <color rgb="FF282828"/>
        <rFont val="宋体"/>
        <charset val="134"/>
      </rPr>
      <t>资源和基本物质资源消耗．</t>
    </r>
  </si>
  <si>
    <t>项</t>
  </si>
  <si>
    <r>
      <rPr>
        <sz val="10"/>
        <color rgb="FF282828"/>
        <rFont val="宋体"/>
        <charset val="134"/>
      </rPr>
      <t>不与“全口牙周系统检查费”同时</t>
    </r>
    <r>
      <rPr>
        <sz val="10"/>
        <color rgb="FF181818"/>
        <rFont val="宋体"/>
        <charset val="134"/>
      </rPr>
      <t>收取．</t>
    </r>
  </si>
  <si>
    <r>
      <rPr>
        <sz val="10"/>
        <color rgb="FF181818"/>
        <rFont val="宋体"/>
        <charset val="134"/>
      </rPr>
      <t>牙周冲洗上药</t>
    </r>
    <r>
      <rPr>
        <sz val="10"/>
        <color rgb="FF282828"/>
        <rFont val="宋体"/>
        <charset val="134"/>
      </rPr>
      <t>费</t>
    </r>
  </si>
  <si>
    <t>对牙周袋或智齿盲袋内部进行冲洗、泄入药物．</t>
  </si>
  <si>
    <r>
      <rPr>
        <sz val="10"/>
        <color rgb="FF181818"/>
        <rFont val="宋体"/>
        <charset val="134"/>
      </rPr>
      <t>所定价格涵盖准备、冲洗、清除、上药、处理用物等步骤所需的人力</t>
    </r>
    <r>
      <rPr>
        <sz val="10"/>
        <color rgb="FF282828"/>
        <rFont val="宋体"/>
        <charset val="134"/>
      </rPr>
      <t>资源和基本物质资源消耗．</t>
    </r>
  </si>
  <si>
    <t>牙周塞治费</t>
  </si>
  <si>
    <t>通过塞治剂覆盖创面或辅助憬瓣贴合于骨面、牙面．</t>
  </si>
  <si>
    <r>
      <rPr>
        <sz val="10"/>
        <color rgb="FF181818"/>
        <rFont val="宋体"/>
        <charset val="134"/>
      </rPr>
      <t>所定价格涵盖准备、调配、放置、</t>
    </r>
    <r>
      <rPr>
        <sz val="10"/>
        <color rgb="FF282828"/>
        <rFont val="宋体"/>
        <charset val="134"/>
      </rPr>
      <t>修整、处理用物等步骤所需的人力资源和基本物质资源消耗．</t>
    </r>
  </si>
  <si>
    <t>01口腔局部止血费</t>
  </si>
  <si>
    <t>牙周塞治费－口腔局部止血费（扩展）</t>
  </si>
  <si>
    <t>不与“牙拔除费“同时收取</t>
  </si>
  <si>
    <t>龈上洁治费</t>
  </si>
  <si>
    <t>通过各种方式清除牙银缘以上的菌斑、牙石及其他沉积物．</t>
  </si>
  <si>
    <t>所定价格涵盖准备、洁治、处理用物，必要时上药等步骤所需的人力资源和基本物质资源消耗．</t>
  </si>
  <si>
    <t>01种植牙）士、口I泊.,.</t>
  </si>
  <si>
    <r>
      <rPr>
        <sz val="10"/>
        <color rgb="FF181818"/>
        <rFont val="宋体"/>
        <charset val="134"/>
      </rPr>
      <t>同一治疗部位不与“牙周冲洗上药</t>
    </r>
    <r>
      <rPr>
        <sz val="10"/>
        <color rgb="FF282828"/>
        <rFont val="宋体"/>
        <charset val="134"/>
      </rPr>
      <t>费“同时收取．</t>
    </r>
  </si>
  <si>
    <t>龈上洁治费－种植牙洁治（加收）</t>
  </si>
  <si>
    <t>牙面抛光费</t>
  </si>
  <si>
    <t>对牙面进行抛光．</t>
  </si>
  <si>
    <t>所定价格涵盖准备、抛光、处理用物等步骤所需的人力资源和基本物质资源消耗．</t>
  </si>
  <si>
    <t>牙面喷砂费</t>
  </si>
  <si>
    <t>通过喷砂去除位于银上或跋下的菌斑、色素、牙石．</t>
  </si>
  <si>
    <t>所定价格涵盖准备、对牙面／根面喷砂、处理用物等步骤所需的人力资源和基本物质资源消耗．</t>
  </si>
  <si>
    <t>龈下刮治费</t>
  </si>
  <si>
    <t>通过各种方式去除跋下牙石、菌斑．</t>
  </si>
  <si>
    <t>所定价格涵盖准备、探查、刮治、处理用物等步骤所需的人力资源和基本物质资源消耗．</t>
  </si>
  <si>
    <t>01种植体哉下刮治</t>
  </si>
  <si>
    <t>龈下刮治费－种植体龈下刮治（加收）</t>
  </si>
  <si>
    <t>龈下刮治费-使用内镜（加收）</t>
  </si>
  <si>
    <t>根面平整费</t>
  </si>
  <si>
    <t>通过各种方式去除根面感染病变的牙骨质．</t>
  </si>
  <si>
    <t>所定价格涵盖手术计划、术区准备、消毒、根面平整，必要时通过设备微创实施、处理用物等步骤所需的人力资源和基本物质资源消耗．</t>
  </si>
  <si>
    <t>根面平整费－儿童（加收）</t>
  </si>
  <si>
    <t>根面平整费-使用内镜（加收）</t>
  </si>
  <si>
    <t>松牙固定费</t>
  </si>
  <si>
    <t>通过各种方式对松动牙齿进行固定．</t>
  </si>
  <si>
    <t>所定价格涵盖准备、检查、固定、咬合检查、调整、处理用物等步骤所需的人力资源和基本物质资源消耗．</t>
  </si>
  <si>
    <t>01外伤牙固定费</t>
  </si>
  <si>
    <t>松牙固定费－外伤牙固定费（扩展）</t>
  </si>
  <si>
    <t>松牙固定拆除费</t>
  </si>
  <si>
    <r>
      <rPr>
        <sz val="10"/>
        <color rgb="FF181818"/>
        <rFont val="宋体"/>
        <charset val="134"/>
      </rPr>
      <t>拆除松牙固定装置</t>
    </r>
    <r>
      <rPr>
        <sz val="10"/>
        <color rgb="FF363636"/>
        <rFont val="宋体"/>
        <charset val="134"/>
      </rPr>
      <t>．</t>
    </r>
  </si>
  <si>
    <t>所定价格涵盖准备、检查、拆除、清理、调整、处理用物等步骤所需的人力资源和基本物质资源消耗．</t>
  </si>
  <si>
    <t>牙周翻瓣费</t>
  </si>
  <si>
    <t>通过手术翻开牙跷瓣，进行清创．</t>
  </si>
  <si>
    <r>
      <rPr>
        <sz val="10"/>
        <color rgb="FF181818"/>
        <rFont val="宋体"/>
        <charset val="134"/>
      </rPr>
      <t>所定价格涵盖制定手术计划、术区准备、消毒、切开</t>
    </r>
    <r>
      <rPr>
        <sz val="10"/>
        <color rgb="FF363636"/>
        <rFont val="宋体"/>
        <charset val="134"/>
      </rPr>
      <t>、</t>
    </r>
    <r>
      <rPr>
        <sz val="10"/>
        <color rgb="FF181818"/>
        <rFont val="宋体"/>
        <charset val="134"/>
      </rPr>
      <t>翻瓣、清创、骨修整、复位、缝合、处理用物等步骤所需的人力资源和基本物质资源消耗</t>
    </r>
    <r>
      <rPr>
        <sz val="10"/>
        <color rgb="FF363636"/>
        <rFont val="宋体"/>
        <charset val="134"/>
      </rPr>
      <t>．</t>
    </r>
  </si>
  <si>
    <t>01复杂牙周翻瓣</t>
  </si>
  <si>
    <t>1.本项目所称“复杂牙周翻瓣"指：根向或冠向复位切口、远中模形切除、根分叉病变的情况．2.同颗牙治疗时此项目不与｀｀盟下刮治费”“根面平整费”同时收取．3.国家医学中心、国家临床重点专科价格上浮10%.</t>
  </si>
  <si>
    <t>牙周翻瓣费－儿童（加收）</t>
  </si>
  <si>
    <t>牙周翻瓣费－复杂牙周翻瓣（加收）</t>
  </si>
  <si>
    <t>牙跋成形费</t>
  </si>
  <si>
    <t>通过手术切除部分牙哉组织，恢复牙跋生理外形．</t>
  </si>
  <si>
    <t>所定价格涵盖手术计划、术区准备、消毒、修整、冲洗、止血、塞治、处理用物等步骤所需的人力资源和基本物质资源消耗．</t>
  </si>
  <si>
    <t>01跋瘤切除费</t>
  </si>
  <si>
    <t>牙跋成形费－儿童（加收）</t>
  </si>
  <si>
    <t>牙哉成形费－帐瘤切除费（扩展）</t>
  </si>
  <si>
    <t>游离跷移植费</t>
  </si>
  <si>
    <t>将自体组织或人工材料异位植入到角化摄不足的牙槽峭．</t>
  </si>
  <si>
    <t>所定价格涵盖手术计划、术区准备、消毒、切开、翻瓣、清创、冲洗、修整、取材、植入、固定、缝合、处理用物等步骤所需的人力资源和基本物质资源消耗．</t>
  </si>
  <si>
    <t>01上皮下结缔组织移植费</t>
  </si>
  <si>
    <t>游离跋移植费－儿童（加收）</t>
  </si>
  <si>
    <t>游离禄移植费－上皮下结缔组织移植费（扩展）</t>
  </si>
  <si>
    <t>引导性牙周组织再生费</t>
  </si>
  <si>
    <t>通过手术促进牙周组织再生．</t>
  </si>
  <si>
    <t>所定价格涵盖手术计划、术区准备、消毒、放埋屏陪膜并固定、复位、缝合、塞治、处理用物等步骤所需的人力资源和基本物质资源消耗．</t>
  </si>
  <si>
    <t>引导性牙周组织再生费－儿童（加收）</t>
  </si>
  <si>
    <t>牙周纤维环状切断费</t>
  </si>
  <si>
    <t>通过手术切断牙周纤维．</t>
  </si>
  <si>
    <t>所定价格涵盖手术计划、术区准备、消毒、切断、止血、塞治、处理用物等步骤所需的人力资源和基本物质资源消耗．</t>
  </si>
  <si>
    <t>牙周纤维环状切断费－儿童（加收）</t>
  </si>
  <si>
    <t>皮质骨切开费</t>
  </si>
  <si>
    <t>通过手术切开牙槽骨唇侧皮质骨板．</t>
  </si>
  <si>
    <t>所定价格涵盖手术计划、术区准备、消毒、切开、复位、止血、缝合、处理用物等步骤所需的人力资源和基本物质资源消耗．</t>
  </si>
  <si>
    <t>01舌侧</t>
  </si>
  <si>
    <t>皮质骨切开费－儿童（加收）</t>
  </si>
  <si>
    <t>皮质骨切开费－舌侧（加收）</t>
  </si>
  <si>
    <t>调治疗费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</si>
  <si>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</si>
  <si>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</si>
  <si>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在牙体缺损充填或修复治疗中进行的调已经含入价格构成，不单独收取．</t>
  </si>
  <si>
    <t>咬合力检测费</t>
  </si>
  <si>
    <t>通过各种方式对上下牙齿咀嚼产生的力量进行检测和评价．</t>
  </si>
  <si>
    <t>所定价格涵盖准备、检查、分析、评价、处理用物等步骤所需的人力资源和基本物质资源消耗．</t>
  </si>
  <si>
    <t>下颌运动功能检查费</t>
  </si>
  <si>
    <t>通过各种方式对下颌运动进行检查和评价．</t>
  </si>
  <si>
    <t>咀唱效率检查费</t>
  </si>
  <si>
    <t>通过各种方式对咀嚼效率进行检查和评价．</t>
  </si>
  <si>
    <t>所定价格涵盖准备、材料准备、残渣收集、处理、分析、评价、处理用物等步骤所需的人力资源和基本物质资源消耗．</t>
  </si>
  <si>
    <t>唾液腺功能测定费</t>
  </si>
  <si>
    <t>评估唾液腺分泌能力和功能状态．</t>
  </si>
  <si>
    <t>所定价格涵盖准备、测定静态和刺激性全唾液流量、出具结果、处理用物等步骤所需的人力资源和基本物质资源消耗．</t>
  </si>
  <si>
    <t>唾液腺药物灌注费</t>
  </si>
  <si>
    <t>向唾液腺导管内灌注药物．</t>
  </si>
  <si>
    <t>所定价格涵盖准备、扩张、注射药物、处理用物等步骤所需的人力资源和基本物质资源消耗．</t>
  </si>
  <si>
    <t>1.唾液腺的非药物性灌注，按此项目收费．2.本项目所称＂腺体·单侧”指：口腔内每侧每腺体．单侧多个腺体或双侧单个腺体可叠加收费．</t>
  </si>
  <si>
    <t>唾液腺药物灌注费－使用内镜（加收）</t>
  </si>
  <si>
    <t>唾液腺导管取石费</t>
  </si>
  <si>
    <r>
      <rPr>
        <sz val="10"/>
        <color rgb="FF181818"/>
        <rFont val="宋体"/>
        <charset val="134"/>
      </rPr>
      <t>通过各种方式将唾液腺导管结石取出</t>
    </r>
    <r>
      <rPr>
        <sz val="10"/>
        <color rgb="FF494949"/>
        <rFont val="宋体"/>
        <charset val="134"/>
      </rPr>
      <t>．</t>
    </r>
  </si>
  <si>
    <r>
      <rPr>
        <sz val="10"/>
        <color rgb="FF181818"/>
        <rFont val="宋体"/>
        <charset val="134"/>
      </rPr>
      <t>所定价格涵盖手术计划、术区准备、消毒、探查、切开、取出、处理用物等步骤所需的人力资源和基本物质资源消耗</t>
    </r>
    <r>
      <rPr>
        <sz val="10"/>
        <color rgb="FF494949"/>
        <rFont val="宋体"/>
        <charset val="134"/>
      </rPr>
      <t>．</t>
    </r>
  </si>
  <si>
    <t>1.本项目所称＂腺体·单侧”指：口腔内每侧每腺体．单侧多个腺体或双侧单个腺体可叠加收费．2.国家医学中心、国家临床重点专科价格上浮10%.</t>
  </si>
  <si>
    <t>唾液腺导管取石费－儿童（加收）</t>
  </si>
  <si>
    <t>唾液腺导管取石费-使用内镜（加收）</t>
  </si>
  <si>
    <t>唾液腺导管治疗费</t>
  </si>
  <si>
    <r>
      <rPr>
        <sz val="10"/>
        <color rgb="FF282828"/>
        <rFont val="宋体"/>
        <charset val="134"/>
      </rPr>
      <t>对唾液腺导管进</t>
    </r>
    <r>
      <rPr>
        <sz val="10"/>
        <color rgb="FF181818"/>
        <rFont val="宋体"/>
        <charset val="134"/>
      </rPr>
      <t>行治疗</t>
    </r>
    <r>
      <rPr>
        <sz val="10"/>
        <color rgb="FF3D3D3D"/>
        <rFont val="宋体"/>
        <charset val="134"/>
      </rPr>
      <t>．</t>
    </r>
  </si>
  <si>
    <t>所定价格涵盖手术计划、术区准备、消毒、冲洗、松解、扩张、处理用物等步骤所需的人力资源和基本物质资源消耗．</t>
  </si>
  <si>
    <t>I.本项目所称＂腺体．单侧”指：口腔内每侧每腺体．单侧多个腺体或双侧单个腺体可叠加收费．2.国家医学中心、国家临床重点专</t>
  </si>
  <si>
    <t>唾液腺导管治疗费－儿童（加收）</t>
  </si>
  <si>
    <t>科价格上浮10%.</t>
  </si>
  <si>
    <t>唾液腺导管治疗费－使用内镜（加收）</t>
  </si>
  <si>
    <t>口腔黏膜病局部药物治疗费</t>
  </si>
  <si>
    <t>通过各种方式对口腔黏膜局部病损进行治疗．</t>
  </si>
  <si>
    <r>
      <rPr>
        <sz val="10"/>
        <color rgb="FF181818"/>
        <rFont val="宋体"/>
        <charset val="134"/>
      </rPr>
      <t>所定价格涵盖准备、注射／</t>
    </r>
    <r>
      <rPr>
        <sz val="10"/>
        <color rgb="FF3D3D3D"/>
        <rFont val="宋体"/>
        <charset val="134"/>
      </rPr>
      <t>雾</t>
    </r>
    <r>
      <rPr>
        <sz val="10"/>
        <color rgb="FF181818"/>
        <rFont val="宋体"/>
        <charset val="134"/>
      </rPr>
      <t>化／湿</t>
    </r>
    <r>
      <rPr>
        <sz val="10"/>
        <color rgb="FF282828"/>
        <rFont val="宋体"/>
        <charset val="134"/>
      </rPr>
      <t>敷／局部封闭／穴位注射、处理用物等步骤所需的人力资源和基本物</t>
    </r>
  </si>
  <si>
    <r>
      <rPr>
        <sz val="10"/>
        <color rgb="FF181818"/>
        <rFont val="宋体"/>
        <charset val="134"/>
      </rPr>
      <t>国家医学中心、国家临床重点专科价格上浮10%</t>
    </r>
    <r>
      <rPr>
        <sz val="10"/>
        <color rgb="FF3D3D3D"/>
        <rFont val="宋体"/>
        <charset val="134"/>
      </rPr>
      <t>.</t>
    </r>
  </si>
  <si>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</si>
  <si>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</si>
  <si>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</si>
  <si>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01术中冷冻病理诊断</t>
  </si>
  <si>
    <t>01人工智能辅助诊断</t>
  </si>
  <si>
    <t>1.病理诊断计价单位“次”覆盖一次完整的取样所涉及的病理切片。单次病理诊断以10张以内切片为基础计价，超出部分每增加1张切片加收4%，每次加收不超过80%。2.医疗机构未上传病理诊断报告的，减收5元。3.如医疗机构自身无法完成诊断，向患者收取“病理诊断费”后，需其他医院提供诊断支持的，应自行协商确定收益分配，不得再向患者收取其他病理诊断费用。4.经患者申请或同意，商请其他医疗机构参与远程会诊的，由邀请方医疗机构按照受邀方医疗机构标准收取“会诊费（远程会诊）”。</t>
  </si>
  <si>
    <t>病理诊断费—术中冷冻病理诊断（加收）</t>
  </si>
  <si>
    <t>病理诊断费-人工智能辅助诊断（扩展）</t>
  </si>
  <si>
    <t>不与主项目同时收费。</t>
  </si>
  <si>
    <t>病理诊断费（远程）</t>
  </si>
  <si>
    <t>患者通过邮寄、互联网等各种方式远程递送病理样本，病理科基于病理样本进行诊断，出具报告。</t>
  </si>
  <si>
    <t>1.单次病理诊断以10张以内切片为基础计价，超出部分每增加1张切片加收4%，每次加收不超过80%。2.医疗机构未上传病理诊断报告的，减收5元。</t>
  </si>
  <si>
    <t>病理诊断费（远程）-人工智能辅助诊断（扩展）</t>
  </si>
  <si>
    <t>活检取材费（钳夹）</t>
  </si>
  <si>
    <t>通过钳（剪）直接夹取各类病变组织。</t>
  </si>
  <si>
    <t>所定价格涵盖定位、消毒、取材等步骤所需的人力资源和基本物质资源消耗。</t>
  </si>
  <si>
    <t>活检取材费（Ⅰ类穿刺）</t>
  </si>
  <si>
    <t>通过穿刺针或活检枪获取病变组织或细胞。</t>
  </si>
  <si>
    <t>所定价格涵盖定位、消毒、穿刺、取材、止血、包扎等步骤所需的人力资源和基本物质资源消耗。</t>
  </si>
  <si>
    <t>活检取材费（Ⅱ类穿刺）</t>
  </si>
  <si>
    <t>本项目所称的“Ⅱ类穿刺”指：穿刺胸腹、腰椎、膀胱，如同时穿刺多个部位，可叠加收取。</t>
  </si>
  <si>
    <t>活检取材费（Ⅲ类穿刺）</t>
  </si>
  <si>
    <t>本项目所称的“Ⅲ类穿刺”指：穿刺甲状腺、前列腺、胰腺、肾，如同时穿刺多个部位，可叠加收取。</t>
  </si>
  <si>
    <t>活检取材费（Ⅳ类穿刺）</t>
  </si>
  <si>
    <t>本项目所称的“Ⅳ类穿刺”指：颅内、眼内、脊髓、心肌，如同时穿刺多个部位，可叠加收取。</t>
  </si>
  <si>
    <t>活检取材费（切开）</t>
  </si>
  <si>
    <t>通过切开获取各类病变组织。</t>
  </si>
  <si>
    <t>所定价格涵盖定位、消毒、切开、取材、缝合、止血、包扎等步骤所需的人力资源和基本物质资源消耗。</t>
  </si>
  <si>
    <t>活检取材费（经皮介入）</t>
  </si>
  <si>
    <t>通过置管介入方式获取各类病变组织。</t>
  </si>
  <si>
    <t>所定价格涵盖定位、消毒、穿刺、置管、取材、撤除等步骤所需的人力资源和基本物质资源消耗。</t>
  </si>
  <si>
    <t>活检取材费（内镜下）</t>
  </si>
  <si>
    <t>通过内镜获取各类病变组织。</t>
  </si>
  <si>
    <t>所定价格涵盖定位、消毒、置镜、取材、撤除等步骤所需的人力资源和基本物质资源消耗。</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</si>
  <si>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</si>
  <si>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</si>
  <si>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</si>
  <si>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01限时处理</t>
  </si>
  <si>
    <t>每蜡块</t>
  </si>
  <si>
    <t>本项目所称的“限时处理”指：医疗机构在24小时内完成标本的完整检查诊断，并出具诊断报告的全过程。</t>
  </si>
  <si>
    <t>病理标本处理费（组织病理-常规）-限时处理（加收）</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</si>
  <si>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</si>
  <si>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</si>
  <si>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</si>
  <si>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</si>
  <si>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</si>
  <si>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</si>
  <si>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</si>
  <si>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</si>
  <si>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</si>
  <si>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</si>
  <si>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</si>
  <si>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</si>
  <si>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</si>
  <si>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</si>
  <si>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</si>
  <si>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</si>
  <si>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</si>
  <si>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</si>
  <si>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</si>
  <si>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</si>
  <si>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</si>
  <si>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</si>
  <si>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</si>
  <si>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</si>
  <si>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</si>
  <si>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t>1.本项目所称的“切片”包括但不限于：不染色切片、染色切片、涂胶切片或组织膜片。2.医疗机构未提供病理数字化切片图像的，减收5元。单次检查或复制多张切片的，按次减收不超过15元。3.患者向医疗机构借用切片的，不得按此收费。</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</si>
  <si>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</si>
  <si>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</si>
  <si>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</si>
  <si>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t>医疗机构未上传“病理切片数字化图像”的，每切片减收5元;单次检查多张切片的，按次减收不超过15元。</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</si>
  <si>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</si>
  <si>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</si>
  <si>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</si>
  <si>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t>01多重染色</t>
  </si>
  <si>
    <t>1.本项目所称的“多重染色”指：同切片使用两种及两种以上染色技术。2.医疗机构未上传病理数字化切片图像的，每切片减收5元;单次检查多张切片的，按次减收不超过15元。</t>
  </si>
  <si>
    <t>病理样本免疫组织化学染色检查费（常规）-多重染色（加收）</t>
  </si>
  <si>
    <t>病理样本免疫组织化学染色检查费（增强）</t>
  </si>
  <si>
    <t>通过人工或自动化等各种方式，对各类病理样本进行免疫组织化学染色，区分组织类型并识别用药对应靶点。</t>
  </si>
  <si>
    <t>1.不与病理样本免疫组织化学染色检查费（常规）同时收取。2.医疗机构未上传病理数字化切片图像的，每切片减收5元;单次检查多张切片的，按次减收不超过15元。</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</si>
  <si>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</si>
  <si>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</si>
  <si>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</si>
  <si>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</si>
  <si>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t>医疗机构未上传病理数字化切片图像的，每切片减收5元;单次检查多张切片的，按次减收不超过15元。</t>
  </si>
  <si>
    <t>原位核酸杂交检测费（荧光探针）</t>
  </si>
  <si>
    <t>通过标记有荧光基团的核酸探针，与样本中的核酸进行互补配对，检测荧光信号定位和显示样本中特定核酸分子序列。</t>
  </si>
  <si>
    <t>1.医疗机构利用多重探针进行检测的，每增加一种探针按80%加收，加收不超过3个探针。2.医疗机构未上传病理数字化切片图像的，每切片减收5元;单次检查多张切片的，按次减收不超过15元。</t>
  </si>
  <si>
    <t>聚合酶链反应法检测费（病理样本）</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</si>
  <si>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</si>
  <si>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</si>
  <si>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</si>
  <si>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t>1.医疗机构单次操作中进行多位点检测的，每增加一个位点按45%叠加计价，三甲医院每次最高收费不超过2200元、三乙不超过2010元、二甲不超过1830元、二乙不超过1650元、二乙以下不超过1460元。2.本项目价格构成已包含检测结果分析并出具报告，医疗机构不得另收取病理诊断费。</t>
  </si>
  <si>
    <t>实时荧光聚合酶链反应法检测费（病理样本）</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</si>
  <si>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</si>
  <si>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</si>
  <si>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t>1.本项目价格构成已包含检测结果分析并出具报告，医疗机构不得另收取病理诊断费。2.医疗机构单次操作中进行多位点检测的，每增加一个位点按60%收取，三甲医院每次最高收费不超过4686元、三乙不超过4303元、二甲不超过3905元、二乙不超过3522元、二乙以下不超过3214元。</t>
  </si>
  <si>
    <t>双脱氧链终止核酸测序法检测费（病理样本）</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</si>
  <si>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</si>
  <si>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</si>
  <si>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</si>
  <si>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t>1.本项目价格构成已包含检测结果分析并出具报告，医疗机构不得另收取病理诊断费。2.医疗机构单次操作中进行多个靶序列检测的，每增加一个靶序列按28%收取，三甲医院每次最高收费不超过4594元、三乙不超过4211元、二甲不超过3828元、二乙不超过3445元、二乙以下不超过3062元。</t>
  </si>
  <si>
    <t>焦磷酸核酸测序法检测费（病理样本）</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</si>
  <si>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</si>
  <si>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</si>
  <si>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1.本项目价格构成已包含检测结果分析并出具报告，医疗机构不得另收取病理诊断费。2.医疗机构单次操作中进行多个靶序列检测的，每增加一个靶序列按23%收取，三甲医院每次最高收费不超过4690元、三乙不超过4307元、二甲不超过3912元、二乙不超过3518元、二乙以下不超过3134元。</t>
  </si>
  <si>
    <t>高通量测序法检测费（病理样本）</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</si>
  <si>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</si>
  <si>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</si>
  <si>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</si>
  <si>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t>1.本项目价格构成已包含检测结果分析并出具报告，医疗机构不得另收取病理诊断费。2.医疗机构单次操作中进行多个面板检测的，每增加一个面板按56%收取，三甲医院每次最高收费不超过9749元、三乙不超过8938元、二甲不超过8127元、二乙不超过7316元、二乙以下不超过6499元。</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</si>
  <si>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</si>
  <si>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</si>
  <si>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</si>
  <si>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1.医疗机构未上传医疗数据和设备运行记录的，应执行减收政策，减收100元。2.口腔种植类的按“医学3D建模（口腔）”收费</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</si>
  <si>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</si>
  <si>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</si>
  <si>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</si>
  <si>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</si>
  <si>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t>口腔种植类的按“医学3D模型打印（口腔）”收费</t>
  </si>
  <si>
    <t>医学3D导板打印辅助操作费</t>
  </si>
  <si>
    <t>通过增材制造技术将虚拟3D模型制备成作用于手术部位、确保手术器械或植（介）入物精准到达预定位置的实物模板。</t>
  </si>
  <si>
    <t>口腔种植类的按“医学3D导板打印（口腔）”收费</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</si>
  <si>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</si>
  <si>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</si>
  <si>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</si>
  <si>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一次性打印多件的，第二件起按60%计价，多件累计收费三甲医院不超过8320元、三乙医院不超过7623元、二甲医院不超过6932元、二乙医院不超过6240元、二乙以下医院不超过5543元。</t>
  </si>
  <si>
    <t>生物3D打印（血管）辅助操作费</t>
  </si>
  <si>
    <t>通过生物打印技术将3D模型制作成用于治疗或辅助治疗的仿生生物血管。</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</si>
  <si>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</si>
  <si>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</si>
  <si>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</si>
  <si>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示踪辅助操作费（阳性显示）</t>
  </si>
  <si>
    <t>通过各种方式引入示踪品，增强目标区域的信号强度，确定病变位置和范围。</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</si>
  <si>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</si>
  <si>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</si>
  <si>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</si>
  <si>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01术中扫频光学相干断层扫描成像辅助操作</t>
  </si>
  <si>
    <t>1.仅提供照明、直接放大成像功能的通用型显微设备，纳入眼科等相关医疗服务价格项目价格构成，不再收取“术中显微成像辅助操作费”。2.本项目收费标准按主手术对应价格项目15%计算加收。3.口腔科牙体缺损治疗、根管治疗“术中显微成像辅助操作费”每牙体/每根管80元计价。</t>
  </si>
  <si>
    <t>按主手术对应价格项目医保支付政策保持一致</t>
  </si>
  <si>
    <t>术中显微成像辅助操作费-术中扫频光学相干断层扫描成像辅助操作（加收）</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</si>
  <si>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</si>
  <si>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</si>
  <si>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</si>
  <si>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</si>
  <si>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</si>
  <si>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</si>
  <si>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1.本项目所称的“显示手术路径、靶点”，其显示方式包括虚拟现实、混合现实等各类立体成像。2.医疗机构未上传医疗数据和设备运行记录的，应执行减收政策，减收100元。3.不得同时收取引导费用。</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</si>
  <si>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</si>
  <si>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</si>
  <si>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</si>
  <si>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1.医疗机构使用一次性刀具的，按零差率销售，不得收取“超声切割刀辅助操作费”2.同一复用刀具有多种辅助操作功能的，医疗机构实际收费时，按收费标准最高的医疗服务价格项目计费，不叠加计费。</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</si>
  <si>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</si>
  <si>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</si>
  <si>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</si>
  <si>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1.医疗机构使用一次性刀具的，按零差率销售，不得收取“超声吸引刀辅助操作费”。2.同一复用刀具有多种辅助操作功能的，医疗机构实际收费时，按收费标准最高的医疗服务价格项目计费，不叠加计费。</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</si>
  <si>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</si>
  <si>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</si>
  <si>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</si>
  <si>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01电刀辅助操作费-血管切割闭合系统辅助操作费</t>
  </si>
  <si>
    <t>1.医疗机构使用一次性刀具的，按零差率销售，不得收取“电刀辅助操作费”。2.同一复用刀具有多种辅助操作功能的，医疗机构实际收费时，按收费标准最高的医疗服务价格项目计费，不叠加计费。</t>
  </si>
  <si>
    <t>517100000050001</t>
  </si>
  <si>
    <t>电刀辅助操作费-血管切割闭合系统辅助操作（加收）</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</si>
  <si>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</si>
  <si>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</si>
  <si>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</si>
  <si>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01氩等离子刀</t>
  </si>
  <si>
    <t>1.医疗机构使用一次性刀具的，按零差率销售，不得收取“等离子刀辅助操作费”。2.同一复用刀具有多种辅助操作功能的，医疗机构实际收费时，按收费标准最高的医疗服务价格项目计费，不叠加计费。</t>
  </si>
  <si>
    <t>等离子刀辅助操作费-氩等离子刀（扩展）</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</si>
  <si>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</si>
  <si>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</si>
  <si>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</si>
  <si>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1.医疗机构使用一次性刀具的，按零差率销售，不得收取“电磁刀辅助操作费”。2.同一复用刀具有多种辅助操作功能的，医疗机构实际收费时，按收费标准最高的医疗服务价格项目计费，不叠加计费。</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</si>
  <si>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</si>
  <si>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</si>
  <si>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</si>
  <si>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1.医疗机构使用一次性光纤的，按零差率销售，不得收取“激光辅助操作费”。2.口腔激光照射治疗按物理治疗“激光治疗费（浅表照射）”收费。</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</si>
  <si>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</si>
  <si>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</si>
  <si>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</si>
  <si>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眼科按单侧计费</t>
  </si>
  <si>
    <t>准分子激光辅助操作费</t>
  </si>
  <si>
    <t>通过准分子激光实现切割、凝固或气化组织等操作，辅助完成手术或治疗。</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</si>
  <si>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</si>
  <si>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</si>
  <si>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</si>
  <si>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1.医疗机构使用一次性刀具的，按零差率销售，不得收取“射频辅助操作费”。2.同一复用刀具有多种辅助操作功能的，医疗机构实际收费时，按收费标准最高的医疗服务价格项目计费，不叠加计费。</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</si>
  <si>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</si>
  <si>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</si>
  <si>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</si>
  <si>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1.医疗机构使用一次性刀具的，按零差率销售，不得收取“微波辅助操作费”。2.同一复用刀具有多种辅助操作功能的，医疗机构实际收费时，按收费标准最高的医疗服务价格项目计费，不叠加计费。</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</si>
  <si>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</si>
  <si>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</si>
  <si>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</si>
  <si>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1.医疗机构使用一次性刀具的，按零差率销售，不得收取“冷冻辅助操作费”。2.同一复用刀具有多种辅助操作功能的，医疗机构实际收费时，按收费标准最高的医疗服务价格项目计费，不叠加计费。</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</si>
  <si>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</si>
  <si>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</si>
  <si>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</si>
  <si>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1.医疗机构使用一次性刀具的，按零差率销售，不得收取“微动力辅助操作费”。2.同一复用刀具有多种辅助操作功能的，医疗机构实际收费时，按收费标准最高的医疗服务价格项目计费，不叠加计费。</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</si>
  <si>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</si>
  <si>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</si>
  <si>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</si>
  <si>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1.医疗机构使用一次性刀具的，按零差率销售，不得收取“微动力辅助操作费（口腔）”2.同一复用刀具有多种辅助操作功能的，医疗机构实际收费时，按收费标准最高的医疗服务价格项目计费，不叠加计费。</t>
  </si>
  <si>
    <t>水动力辅助操作费</t>
  </si>
  <si>
    <t>通过高压液流，实现切割、清创等操作，辅助完成手术或治疗。</t>
  </si>
  <si>
    <t>1.医疗机构使用一次性刀具的，按零差率销售，不得收取“水动力辅助操作费”。2.同一复用刀具有多种辅助操作功能的，医疗机构实际收费时，按收费标准最高的医疗服务价格项目计费，不叠加计费。</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</si>
  <si>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</si>
  <si>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</si>
  <si>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</si>
  <si>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</si>
  <si>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t>1.时间以引导实际使用时间为准。2.单次引导以半小时为基础计价，超出部分每增加半小时按50%叠加计价，三甲医院最高收费不超过140元、三乙医院不超过128元、二甲医院不超过116元、二乙医院不超过104元、二乙以下医院不超过92元。</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</si>
  <si>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</si>
  <si>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</si>
  <si>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</si>
  <si>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2.单次引导以半小时为基础计价，超出部分每增加半小时按50%叠加计价，三甲医院最高收费不超过450元、三乙医院不超过414元、二甲医院不超过376元、二乙医院不超过338元、二乙以下医院不超过300元。</t>
  </si>
  <si>
    <t>X线透视引导辅助操作费（机械臂-三维成像）</t>
  </si>
  <si>
    <t>通过各种类型机械臂扫描直接形成三维图像，为手术或治疗操作提供可视化条件。</t>
  </si>
  <si>
    <t>1.计价时间以引导实际使用时间为准。2.单次引导以半小时为基础计价，超出部分每增加半小时按50%计价，三甲医院最高收费不超过700元、三乙医院不超过642元、二甲医院不超过584元、二乙医院不超过526元、二乙以下医院不超过468元。</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</si>
  <si>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</si>
  <si>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</si>
  <si>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</si>
  <si>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</si>
  <si>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</si>
  <si>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</si>
  <si>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t>1.操作过程中不与相应部位计算机体层扫描（CT）检查同时收取。2.计价时间以引导实际使用时间为准。3.单次引导以半小时为基础计价，超出部分每增加半小时按50%计价，三甲医院最高收费不超过576元、三乙医院不超过528元、二甲医院不超过480元、二乙医院不超过432元、二乙以下医院不超过384元。</t>
  </si>
  <si>
    <t>磁共振引导辅助操作费</t>
  </si>
  <si>
    <t>通过磁共振引导，为手术或治疗操作提供可视化条件。</t>
  </si>
  <si>
    <t>1.操作过程中不与相应部位磁共振（MR）检查同时收取。2.计价时间以引导实际使用时间为准。3.单次引导以半小时为基础计价，超出部分每增加半小时按50%计价，三甲医院最高收费不超过1000元、三乙医院不超过900元、二甲医院不超过800元、二乙医院不超过700元、二乙以下医院不超过640元。</t>
  </si>
  <si>
    <t>超声引导辅助操作费（治疗）</t>
  </si>
  <si>
    <t>通过超声技术，为治疗提供可视化条件。</t>
  </si>
  <si>
    <t>所定价格涵盖设备准备、超声引导、撤除、处理用物等步骤所需的人力资源、设备运转成本与基本物质资源消耗。</t>
  </si>
  <si>
    <t>01彩色多普勒超声加收11便携式超声引导减收</t>
  </si>
  <si>
    <t>10分钟</t>
  </si>
  <si>
    <t>1.计价时间以引导实际使用时间为准。2.单次引导以10分钟为基础计价，超出时间每增加10分钟按60%叠加计价，三甲医院主项目最高收费不超过103元、三乙医院不超过95元、二甲医院不超过86元、二乙医院不超过77元、二乙以下医院不超过68元。3.不可同时收取超声检查费用。</t>
  </si>
  <si>
    <t>超声引导辅助操作费（治疗）-彩色多普勒超声（加收）</t>
  </si>
  <si>
    <t>1.计价时间以引导实际使用时间为准。2.单次引导以10分钟为基础计价，超出时间每增加10分钟按加收费用的60%叠加计价，三甲医院加收项目最高收费不超过64元、三乙医院不超过59元、二甲医院不超过53元、二乙医院不超过48元、二乙以下医院不超过42元。</t>
  </si>
  <si>
    <t>超声引导辅助操作费（治疗）-便携式超声引导（减收）</t>
  </si>
  <si>
    <t>1.计价时间以引导实际使用时间为准。2.单次引导以10分钟为基础计价，超出时间每增加10分钟按便携式超声引导的60%叠加计价，三甲医院总费用不超过59元、三乙医院不超过54元、二甲医院不超过49元、二乙医院不超过44元、二乙以下医院不超过39元。</t>
  </si>
  <si>
    <t>超声引导辅助操作费（手术）</t>
  </si>
  <si>
    <t>通过超声技术，为手术提供可视化条件。</t>
  </si>
  <si>
    <t>1.计价时间以引导实际使用时间为准。2.单次引导以半小时为基础计价，超出部分每增加半小时按50%叠加计价，三甲医院主项目最高收费不超过520元、三乙医院不超过478元、二甲医院不超过434元、二乙医院不超过390元、二乙以下医院不超过348元。3.不可同时收取超声检查费用。</t>
  </si>
  <si>
    <t>超声引导辅助操作费（手术）-彩色多普勒超声（加收）</t>
  </si>
  <si>
    <t>1.计价时间以引导实际使用时间为准。2.单次引导以半小时为基础计价，超出部分每增加半小时按50%叠加计价，三甲医院加收项目最高收费不超过520元、三乙医院不超过478元、二甲医院不超过434元、二乙医院不超过390元、二乙以下医院不超过348元。</t>
  </si>
  <si>
    <t>超声引导辅助操作费（手术）-便携式超声引导（减收）</t>
  </si>
  <si>
    <t>1.计价时间以引导实际使用时间为准。2.单次引导以半小时为基础计价，超出部分每增加半小时按便携式超声引导的50%叠加计价，三甲医院总费用不超过421元、三乙医院不超过387元、二甲医院不超过352元、二乙医院不超过316元、二乙以下医院不超过282元。</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</si>
  <si>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</si>
  <si>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</si>
  <si>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</si>
  <si>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t>1.不与“手术路径导航辅助操作费”同时收取。2.单台设备同时具备导航、部分执行、精准执行中的两项或三项功能的，医疗机构实际收费时，按收费标准最高的医疗服务价格项目计费，不叠加计费。3.本项目收费标准按主手术对应价格项目50%计算加收；加收金额三甲医院低于1800元的按1800元收费，高于3600元的按3600元收费、三乙医院低于1650元的按1650元收费，高于3300元的按3300元收费、二甲医院低于1500元的按1500元收费，高于3000元的按3000元收费、二乙医院低于1350元的按1350元收费，高于2700元的按2700元收费、二乙以下医院低于1200元的按1200元收费，高于2400元的按2400元收费。4.医疗机构未上传医疗数据和设备运行记录的，应执行减收政策，减收100元。</t>
  </si>
  <si>
    <t>主手术项目价格的50%</t>
  </si>
  <si>
    <t>手术机械臂辅助操作费（参与执行）</t>
  </si>
  <si>
    <t>通过手术机械臂平台，以映射控制的方式，辅助医务人员操控手术器械，参与完成构建通道、打孔或切割中的一个或若干个手术步骤。</t>
  </si>
  <si>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</si>
  <si>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t>1.不与“手术路径导航辅助操作费”同时收取。2.单台设备同时具备导航、部分执行、精准执行中的两项或三项功能的，医疗机构实际收费时，按收费标准最高的医疗服务价格项目计费，不叠加计费。3.本项目收费标准按主手术对应价格项目150%计算加收；加收金额三甲医院低于5000元的按5000元收费，高于12000元的按12000元收费、三乙医院低于4584元的按4584元收费，高于11000元的按11000元收费、二甲医院低于4167元的按4167元收费，高于10000元的按10000元收费、二乙医院低于3750元的按3750元收费，高于9000元的按9000元收费、二乙以下医院低于3334元的按3334元收费，高于8000元的按8000元收费。4.医疗机构未上传医疗数据和设备运行记录的，应执行减收政策，减收100元。</t>
  </si>
  <si>
    <t>主手术项目价格的150%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</si>
  <si>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</si>
  <si>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</si>
  <si>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</si>
  <si>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t>1.不与“手术路径导航辅助操作费”同时收取。2.单台设备同时具备导航、部分执行、精准执行中的两项或三项功能的，医疗机构实际收费时，按收费标准最高的医疗服务价格项目计费，不叠加计费。3.本项目收费标准按主手术对应价格项目300%计算加收；加收金额三甲医院低于16000元的按16000元收费，高于26000元的按26000元收费、三乙医院低于14666元的按14666元收费，高于23834元的按23834元收费、二甲医院低于13333元的按13333元收费，高于21667元的按21667元收费、二乙医院低于12000元的按12000元收费，高于19500元的按19500元收费、二乙以下医院低于10666元的按10666元收费，高于17334元的按17334元收费。4.医疗机构未上传医疗数据和设备运行记录的，应执行减收政策，减收100元。</t>
  </si>
  <si>
    <t>主手术项目价格的300%</t>
  </si>
  <si>
    <t>远程手术辅助操作费</t>
  </si>
  <si>
    <t>通过计算机平台远程操控手术器械，精准完成手术的全部步骤，或精准完成手术中器官、组织的切除、重建、修复等全部关键步骤。</t>
  </si>
  <si>
    <t>1.不与“手术导航辅助操作费”“手术机械臂辅助操作费”同时收取。2.本项目收费标准按主手术对应价格项目500%计算加收；加收金额三甲医院低于20000元的按20000元收费，高于37000元的按37000元收费、三乙医院低于18334元的按18334元收费，高于33916元的按33916元收费、二甲医院低于16667元的按16667元收费，高于30833元的按30833元收费、二乙医院低于15000元的按15000元收费，高于27750元的按27750元收费、二乙以下医院低于13334元的按13334元收费，高于24666元的按24666元收费。3.医疗机构未上传医疗数据和设备运行记录的，应执行减收政策，减收100元。4.远程指跨地市且距离超过300公里。</t>
  </si>
  <si>
    <t>主手术项目价格的500%</t>
  </si>
  <si>
    <t>消化道pH值监测费</t>
  </si>
  <si>
    <t>通过各种方式监测消化道ph值。</t>
  </si>
  <si>
    <t>所定价格涵盖设备准备、插管、测定、撤除、数据提取分析、出具报告、处理用物等步骤所需的人力资源和基本物质资源消耗。（不含内镜操作）</t>
  </si>
  <si>
    <t>01阻抗测定</t>
  </si>
  <si>
    <t>本项目中的“次”指：监测时长24小时，不足24小时按24小时计费。</t>
  </si>
  <si>
    <t>消化道pH值监测费-阻抗测定（加收）</t>
  </si>
  <si>
    <t>消化道压力测定费</t>
  </si>
  <si>
    <t>通过各种方式测定消化道压力。</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</si>
  <si>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</si>
  <si>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</si>
  <si>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</si>
  <si>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</si>
  <si>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</si>
  <si>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</si>
  <si>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</si>
  <si>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</si>
  <si>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呼气试验费（红细胞寿命检测）</t>
  </si>
  <si>
    <t>测定呼出气体中特定气体的含量，判断红细胞寿命。</t>
  </si>
  <si>
    <t>本项目中的“特定气体”指：一氧化碳。</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</si>
  <si>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</si>
  <si>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</si>
  <si>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</si>
  <si>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</si>
  <si>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</si>
  <si>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</si>
  <si>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</si>
  <si>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</si>
  <si>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</si>
  <si>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</si>
  <si>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</si>
  <si>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</si>
  <si>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</si>
  <si>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</si>
  <si>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</si>
  <si>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</si>
  <si>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</si>
  <si>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</si>
  <si>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腹水回输治疗费</t>
  </si>
  <si>
    <t>收集腹水，处理后回输患者进行治疗。</t>
  </si>
  <si>
    <t>所定价格涵盖准备、穿刺、置管、引流采集、过滤、回输、处理用物等步骤所需的人力资源和基本物质资源消耗。</t>
  </si>
  <si>
    <t>01胸水回输治疗</t>
  </si>
  <si>
    <t>腹水回输治疗费-胸水回输治疗（扩展）</t>
  </si>
  <si>
    <t>肠异位灌注整复费</t>
  </si>
  <si>
    <t>通过灌注复位肠套叠、肠扭转等各类异位情况。</t>
  </si>
  <si>
    <t>所定价格涵盖设备准备、灌注、观察、复位、处理用物等步骤所需的人力资源和基本物质资源消耗。（不含内镜操作）</t>
  </si>
  <si>
    <t>01胃异位整复</t>
  </si>
  <si>
    <t>肠异位灌注整复费-胃异位整复（扩展）</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</si>
  <si>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</si>
  <si>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</si>
  <si>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</si>
  <si>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</si>
  <si>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</si>
  <si>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</si>
  <si>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上消化道内镜检查费（常规）</t>
  </si>
  <si>
    <t>通过消化道内镜观察和诊断上消化道的疾病。</t>
  </si>
  <si>
    <t>所定价格涵盖设备准备、体位摆放、入镜、观察、图像采集、撤镜、出具报告、处理用物等步骤所需的人力资源和基本物质资源消耗。</t>
  </si>
  <si>
    <t>01单气囊小肠镜02双气囊小肠镜03胆/胰管内镜检查04胆/胰管内镜子镜检查11放大/染色检查</t>
  </si>
  <si>
    <t>1.单次入路检查经过多个部位的，以最终到达的部位计费1次。2.同时行放大、染色检查仅计费1次3.“经皮经肝胆道镜检查”按“胆/胰管内镜检查”收费。</t>
  </si>
  <si>
    <t>上消化道内镜检查费（常规）-单气囊小肠镜（加收）</t>
  </si>
  <si>
    <t>上消化道内镜检查费（常规）-双气囊小肠镜（加收）</t>
  </si>
  <si>
    <t>上消化道内镜检查费（常规）-胆/胰管内镜检查（加收）</t>
  </si>
  <si>
    <t>上消化道内镜检查费（常规）-胆/胰管内镜子镜检查（加收）</t>
  </si>
  <si>
    <t>上消化道内镜检查费（常规）-放大/染色检查（加收）</t>
  </si>
  <si>
    <t>下消化道内镜检查费（常规）</t>
  </si>
  <si>
    <t>通过消化道内镜观察和诊断下消化道的疾病。</t>
  </si>
  <si>
    <t>01单气囊小肠镜02双气囊小肠镜11放大/染色检查</t>
  </si>
  <si>
    <t>1.单次入路检查经过多个部位的，以最终到达的部位计费1次。2.同时行放大、染色检查仅计费1次。</t>
  </si>
  <si>
    <t>下消化道内镜检查费（常规）-单气囊小肠镜（加收）</t>
  </si>
  <si>
    <t>下消化道内镜检查费（常规）-双气囊小肠镜（加收）</t>
  </si>
  <si>
    <t>下消化道内镜检查费（常规）-放大/染色检查（加收）</t>
  </si>
  <si>
    <t>上消化道内镜检查费（超声内镜）</t>
  </si>
  <si>
    <t>通过微探头、环扫、线阵式等不同消化道超声内镜观察和诊断疾病。</t>
  </si>
  <si>
    <t>01胆/胰超声内镜检查</t>
  </si>
  <si>
    <t>单次入路检查经过多个部位的，以最终到达的部位计费1次。</t>
  </si>
  <si>
    <t>上消化道内镜检查费（超声内镜）-胆/胰超声内镜检查（加收）</t>
  </si>
  <si>
    <t>下消化道内镜检查费（超声内镜）</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</si>
  <si>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</si>
  <si>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</si>
  <si>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</si>
  <si>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2.超声内镜引导针基共聚焦激光显微内镜行胆/胰检查时，可收取“上消化道内镜检查费（超声内镜）-胆/胰超声内镜检查（加收）”及“上消化道内镜检查费（共聚焦激光显微内镜）”。</t>
  </si>
  <si>
    <t>下消化道内镜检查费（共聚焦激光显微内镜）</t>
  </si>
  <si>
    <t>通过共聚焦激光显微内镜观察和诊断下消化道的疾病。</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</si>
  <si>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</si>
  <si>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</si>
  <si>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</si>
  <si>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</si>
  <si>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</si>
  <si>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</si>
  <si>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</si>
  <si>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</si>
  <si>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所定价格涵盖设备准备、体位摆放、穿刺、观察、必要时扩张、置管、引流、处理用物等步骤所需的人力资源、设备运转成本和基本物质资源消耗。（不含内镜检查和经皮经肝胆管造影）</t>
  </si>
  <si>
    <t>01经皮经肝穿刺胆囊外引流费</t>
  </si>
  <si>
    <t>经皮经肝穿刺胆管外引流费-经皮经肝穿刺胆囊外引流费（扩展）</t>
  </si>
  <si>
    <t>经皮经肝穿刺胆管内引流费</t>
  </si>
  <si>
    <t>通过经皮经肝穿刺进入胆管通路，实现内引流。</t>
  </si>
  <si>
    <t>01经皮经肝穿刺胆囊内引流费</t>
  </si>
  <si>
    <t>经皮经肝穿刺胆管内引流费-经皮经肝穿刺胆囊内引流费（扩展）</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</si>
  <si>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</si>
  <si>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</si>
  <si>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</si>
  <si>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01内穿刺引流</t>
  </si>
  <si>
    <t>01无创胰管外引流</t>
  </si>
  <si>
    <t>无创胆管外引流费-内穿刺引流（加收）</t>
  </si>
  <si>
    <t>无创胆管外引流费-儿童（加收）</t>
  </si>
  <si>
    <t>无创胆管外引流费-无创胰管外引流（扩展）</t>
  </si>
  <si>
    <t>无创胆管内引流费</t>
  </si>
  <si>
    <t>通过无创方式在胆管内放置引流管使胆汁引流至体内。</t>
  </si>
  <si>
    <t>01无创胰管内引流</t>
  </si>
  <si>
    <t>无创胆管内引流费-儿童（加收）</t>
  </si>
  <si>
    <t>无创胆管内引流费-内穿刺引流（加收）</t>
  </si>
  <si>
    <t>无创胆管内引流费-无创胰管内引流（扩展）</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</si>
  <si>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</si>
  <si>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</si>
  <si>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</si>
  <si>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1.同一治疗位置行多种治疗方式只可收取一次。2.胆管、胰管引流按相关项目收费。</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</si>
  <si>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</si>
  <si>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</si>
  <si>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</si>
  <si>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1.同一治疗位置使用多种能量源只可收取一次。2.针对同一目的，常规治疗转特殊治疗，按照“腹腔脏器穿刺治疗费（特殊）”收费。</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</si>
  <si>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</si>
  <si>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</si>
  <si>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</si>
  <si>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1.同一治疗位置行多种治疗方式只可收取一次。2.涉及消化道静脉曲张治疗按照“消化道静脉曲张治疗费”收取。3.胆管、胰管引流按相关项目收费。4.不同入路治疗可分别收费。</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</si>
  <si>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</si>
  <si>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</si>
  <si>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</si>
  <si>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2.针对同一目的，常规治疗转特殊治疗，按照“消化内镜治疗费（特殊）”收费。3.涉及息肉治疗按照“无创消化道息肉去除费”或“无创消化道病变切除费”收取。4.涉及消化道静脉曲张治疗按照“消化道静脉曲张治疗费”收取。5.不同入路治疗可分别收费。</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</si>
  <si>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</si>
  <si>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</si>
  <si>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</si>
  <si>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</si>
  <si>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无创消化道静脉曲张治疗费-儿童（加收）</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</si>
  <si>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</si>
  <si>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</si>
  <si>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</si>
  <si>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</si>
  <si>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“次”指息肉数小于等于3个，每增加1个按33%加收，计价不超过10个息肉。</t>
  </si>
  <si>
    <t>无创消化道息肉去除费-儿童（加收）</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</si>
  <si>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</si>
  <si>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</si>
  <si>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</si>
  <si>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01黏膜下隧道病变切除</t>
  </si>
  <si>
    <t>同一部位的多发病灶按50%加收。</t>
  </si>
  <si>
    <t>无创消化道病变切除费-儿童（加收）</t>
  </si>
  <si>
    <t>无创消化道病变切除费-黏膜下隧道病变切除（加收）</t>
  </si>
  <si>
    <t>无创消化道缺损闭合费</t>
  </si>
  <si>
    <t>通过无创方式修补闭合消化道缺损。</t>
  </si>
  <si>
    <t>所定价格涵盖准备、观察、修补闭合、创面处理、处理用物等步骤所需的人力资源和基本物质资源消耗。（不含内镜检查）</t>
  </si>
  <si>
    <t>无创消化道缺损闭合费-儿童（加收）</t>
  </si>
  <si>
    <t>无创消化道异物取出费</t>
  </si>
  <si>
    <t>通过无创方式取出消化道异物。</t>
  </si>
  <si>
    <t>所定价格涵盖准备、观察、异物取出、处理用物，必要时切开等步骤所需的人力资源和基本物质资源消耗。（不含内镜检查）</t>
  </si>
  <si>
    <t>01异物直径大于5cm</t>
  </si>
  <si>
    <t>同一治疗部位只能收取1次费用。</t>
  </si>
  <si>
    <t>无创消化道异物取出费-儿童（加收）</t>
  </si>
  <si>
    <t>无创消化道异物取出费-异物直径大于5cm（加收）</t>
  </si>
  <si>
    <t>无创消化道扩张费</t>
  </si>
  <si>
    <t>通过无创方式利用球囊等对消化道狭窄进行扩张。</t>
  </si>
  <si>
    <t>所定价格涵盖准备、观察、狭部扩张、处理用物等步骤所需的人力资源和基本物质资源消耗。（不含内镜检查）</t>
  </si>
  <si>
    <t>01胆管扩张11胰管扩张21胆囊扩张</t>
  </si>
  <si>
    <t>无创消化道扩张费-儿童（加收）</t>
  </si>
  <si>
    <t>无创消化道扩张费-胆管扩张（加收）</t>
  </si>
  <si>
    <t>无创消化道扩张费-胰管扩张（加收）</t>
  </si>
  <si>
    <t>无创消化道扩张费-胆囊扩张（加收）</t>
  </si>
  <si>
    <t>无创消化道支架置入费</t>
  </si>
  <si>
    <t>通过无创方式在消化道置入支架。</t>
  </si>
  <si>
    <t>所定价格涵盖准备、观察、必要时狭部扩张、支架置入、处理用物等步骤所需的人力资源和基本物质资源消耗。（不含内镜检查）</t>
  </si>
  <si>
    <t>01胆管支架置入11胰管支架置入21胆囊支架置入</t>
  </si>
  <si>
    <t>1.同一治疗部位只能收取1次费用。2.含无创消化道扩张费。</t>
  </si>
  <si>
    <t>无创消化道支架置入费-儿童（加收）</t>
  </si>
  <si>
    <t>无创消化道支架置入费-胆管支架置入（加收）</t>
  </si>
  <si>
    <t>无创消化道支架置入费-胰管支架置入（加收）</t>
  </si>
  <si>
    <t>无创消化道支架置入费-胆囊支架置入（加收）</t>
  </si>
  <si>
    <t>无创消化道支架取出费</t>
  </si>
  <si>
    <t>通过无创方式自消化道取出支架。</t>
  </si>
  <si>
    <t>所定价格涵盖准备、观察、支架取出、处理用物等步骤所需的人力资源和基本物质资源消耗。（不含内镜检查）</t>
  </si>
  <si>
    <t>01经皮穿刺支架取出</t>
  </si>
  <si>
    <t>无创消化道支架取出费-儿童（加收）</t>
  </si>
  <si>
    <t>无创消化道支架取出费-经皮穿刺支架取出（扩展）</t>
  </si>
  <si>
    <t>无创消化道狭窄切开费</t>
  </si>
  <si>
    <t>通过无创方式进入消化道切开狭窄部位。</t>
  </si>
  <si>
    <t>所定价格涵盖准备、观察、切开、处理用物等步骤所需的人力资源和基本物质资源消耗。（不含内镜检查）</t>
  </si>
  <si>
    <t>无创消化道狭窄切开费-儿童（加收）</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</si>
  <si>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</si>
  <si>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</si>
  <si>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</si>
  <si>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01无创胰管取石</t>
  </si>
  <si>
    <t>无创胆管结石取出费-儿童（加收）</t>
  </si>
  <si>
    <t>无创胆管结石取出费-无创胰管取石（扩展）</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</si>
  <si>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</si>
  <si>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</si>
  <si>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</si>
  <si>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无创保胆取石费-儿童（加收）</t>
  </si>
  <si>
    <t>经皮穿刺胆囊碎石取石费</t>
  </si>
  <si>
    <t>通过经皮穿刺进入胆囊碎石后并取出。</t>
  </si>
  <si>
    <t>所定价格涵盖设备准备、体位摆放、穿刺、观察、体内碎石、取石、置管引流、处理用物等步骤所需的人力资源、设备运转成本与基本物质资源消耗。（不含内镜检查）</t>
  </si>
  <si>
    <t>01经皮穿刺胆管碎石取石费</t>
  </si>
  <si>
    <t>经皮穿刺胆囊碎石取石费-儿童（加收）</t>
  </si>
  <si>
    <t>经皮穿刺胆囊碎石取石费-经皮穿刺胆管碎石取石费（扩展）</t>
  </si>
  <si>
    <t>无创消化道肌切开费</t>
  </si>
  <si>
    <t>通过无创方式进入消化道切开括约肌等肌肉。</t>
  </si>
  <si>
    <t>无创消化道肌切开费-儿童（加收）</t>
  </si>
  <si>
    <t>无创消化道造瘘/口置管费</t>
  </si>
  <si>
    <t>通过无创方式进入消化道，在消化道造口并置入营养管。</t>
  </si>
  <si>
    <t>所定价格涵盖准备、观察、穿刺、置管、固定、处理用物等步骤所需的人力资源和基本物质资源消耗。（不含内镜检查）</t>
  </si>
  <si>
    <t>无创消化道造瘘/口置管费-儿童（加收）</t>
  </si>
  <si>
    <t>无创消化道造瘘/口管取出费</t>
  </si>
  <si>
    <t>通过无创方式进入消化道，取出置入的营养管。</t>
  </si>
  <si>
    <t>所定价格涵盖准备、观察、取出、处理用物等步骤所需的人力资源和基本物质资源消耗。（不含内镜检查）</t>
  </si>
  <si>
    <t>01无创消化道造瘘/口管调整</t>
  </si>
  <si>
    <t>无创消化道造瘘/口管取出费-儿童（加收）</t>
  </si>
  <si>
    <t>无创消化道造瘘/口管取出费-无创消化道造瘘/口管调整（扩展）</t>
  </si>
  <si>
    <t>无创消化道置管更换费</t>
  </si>
  <si>
    <t>通过无创方式进入消化道，置换消化道造瘘/口管。</t>
  </si>
  <si>
    <t>所定价格涵盖准备、观察、拔管、置新管、固定、处理用物等步骤所需的人力资源和基本物质资源消耗。（不含内镜检查）</t>
  </si>
  <si>
    <t>无创消化道置管更换费-儿童（加收）</t>
  </si>
  <si>
    <t>无创胃空肠吻合费</t>
  </si>
  <si>
    <t>通过无创方式进入消化道，建立胃与空肠之间的通路。</t>
  </si>
  <si>
    <t>所定价格涵盖准备、观察、穿刺、吻合、固定、处理用物等步骤所需的人力资源和基本物质资源消耗。（不含内镜检查）</t>
  </si>
  <si>
    <t>无创胃空肠吻合费-儿童（加收）</t>
  </si>
  <si>
    <t>食管病变切除费</t>
  </si>
  <si>
    <t>通过手术切除食管病变。</t>
  </si>
  <si>
    <t>所定价格涵盖手术计划、术区准备、消毒、切开、探查、切除、缝合、处理用物等步骤所需的人力资源和基本物质资源消耗。</t>
  </si>
  <si>
    <t>01多病变切除</t>
  </si>
  <si>
    <t>食管病变切除费-儿童（加收）</t>
  </si>
  <si>
    <t>食管病变切除费-多病变切除（加收）</t>
  </si>
  <si>
    <t>食管部分切除费</t>
  </si>
  <si>
    <t>通过手术切除部分食管组织（含部分胃组织）。</t>
  </si>
  <si>
    <t>所定价格涵盖手术计划、术区准备、消毒、切开、探查、切除、吻合、缝合、处理用物等步骤所需的人力资源和基本物质资源消耗。</t>
  </si>
  <si>
    <t>01恶性肿瘤切除11胃/肠代食管吻合</t>
  </si>
  <si>
    <t>食管部分切除费-儿童（加收）</t>
  </si>
  <si>
    <t>食管部分切除费-恶性肿瘤切除（加收）</t>
  </si>
  <si>
    <t>食管部分切除费-胃/肠代食管吻合（加收）</t>
  </si>
  <si>
    <t>食管全切除费</t>
  </si>
  <si>
    <t>通过手术切除全部食管组织（含部分胃组织）。</t>
  </si>
  <si>
    <t>01恶性肿瘤扩大根治性切除11胃/肠代食管吻合</t>
  </si>
  <si>
    <t>本项目中的“恶性肿瘤扩大根治性切除”指联合多脏器切除，且不含淋巴结清扫。</t>
  </si>
  <si>
    <t>食管全切除费-儿童（加收）</t>
  </si>
  <si>
    <t>食管全切除费-恶性肿瘤扩大根治性切除（加收）</t>
  </si>
  <si>
    <t>食管全切除费-胃/肠代食管吻合（加收）</t>
  </si>
  <si>
    <t>食管切开异物取出费</t>
  </si>
  <si>
    <t>通过手术取出食管异物。</t>
  </si>
  <si>
    <t>所定价格涵盖手术计划、术区准备、消毒、切开、探查、异物取出、缝合、处理用物等步骤所需的人力资源和基本物质资源消耗。</t>
  </si>
  <si>
    <t>食管切开异物取出费-儿童（加收）</t>
  </si>
  <si>
    <t>食管狭窄成形费</t>
  </si>
  <si>
    <t>通过手术修复狭窄/闭锁食管。</t>
  </si>
  <si>
    <t>所定价格涵盖手术计划、术区准备、消毒、切开、探查、成形、缝合、处理用物等步骤所需的人力资源和基本物质资源消耗。</t>
  </si>
  <si>
    <t>食管狭窄成形费-儿童（加收）</t>
  </si>
  <si>
    <t>食管造瘘/口费</t>
  </si>
  <si>
    <t>通过手术对食管造瘘/口。</t>
  </si>
  <si>
    <t>所定价格涵盖手术计划、术区准备、消毒、切开、探查、造口、缝合、处理用物等步骤所需的人力资源和基本物质资源消耗。</t>
  </si>
  <si>
    <t>食管造瘘/口费-儿童（加收）</t>
  </si>
  <si>
    <t>食管修补费</t>
  </si>
  <si>
    <t>通过手术修补破裂的食管。</t>
  </si>
  <si>
    <t>所定价格涵盖手术计划、术区准备、消毒、切开、探查、修补、缝合、处理用物等步骤所需的人力资源和基本物质资源消耗。</t>
  </si>
  <si>
    <t>01多部位修补</t>
  </si>
  <si>
    <t>本项目中的“次”指：2处及以下部位修补，3处及3处以上修补按“多部位修补”加收。</t>
  </si>
  <si>
    <t>食管修补费-儿童（加收）</t>
  </si>
  <si>
    <t>食管修补费-多部位修补（加收）</t>
  </si>
  <si>
    <t>胃部分切除费</t>
  </si>
  <si>
    <t>通过手术切除部分胃组织。</t>
  </si>
  <si>
    <t>所定价格涵盖手术计划、术区准备、消毒、切开、探查、分离、切除、吻合、冲洗、止血、引流、缝合、处理用物等步骤所需的人力资源和基本物质资源消耗。</t>
  </si>
  <si>
    <t>01多病变切除11病变累及贲门</t>
  </si>
  <si>
    <t>胃部分切除费-儿童（加收）</t>
  </si>
  <si>
    <t>胃部分切除费-多病变切除（加收）</t>
  </si>
  <si>
    <t>胃部分切除费-病变累及贲门（加收）</t>
  </si>
  <si>
    <t>胃大部切除费</t>
  </si>
  <si>
    <t>通过手术切除大部分胃组织。</t>
  </si>
  <si>
    <t>01恶性肿瘤扩大根治性切除11近端胃大部切除</t>
  </si>
  <si>
    <t>胃大部切除费-儿童（加收）</t>
  </si>
  <si>
    <t>胃大部切除费-恶性肿瘤扩大根治性切除（加收）</t>
  </si>
  <si>
    <t>胃大部切除费-近端胃大部切除（加收）</t>
  </si>
  <si>
    <t>胃全切除费</t>
  </si>
  <si>
    <t>通过手术切除全胃。</t>
  </si>
  <si>
    <t>01恶性肿瘤扩大根治性切除</t>
  </si>
  <si>
    <t>胃全切除费-儿童（加收）</t>
  </si>
  <si>
    <t>胃全切除费-恶性肿瘤扩大根治性切除（加收）</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</si>
  <si>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</si>
  <si>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</si>
  <si>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</si>
  <si>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</si>
  <si>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胃减容费-儿童（加收）</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</si>
  <si>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</si>
  <si>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</si>
  <si>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</si>
  <si>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胃肠括约肌成形费-儿童（加收）</t>
  </si>
  <si>
    <t>胃切开异物取出费</t>
  </si>
  <si>
    <t>通过手术切开胃取出异物。</t>
  </si>
  <si>
    <t>所定价格涵盖手术计划、术区准备、消毒、切开、探查、异物取出、冲洗、止血、引流、缝合、处理用物等步骤所需的人力资源和基本物质资源消耗。</t>
  </si>
  <si>
    <t>胃切开异物取出费-儿童（加收）</t>
  </si>
  <si>
    <t>胃修补费</t>
  </si>
  <si>
    <t>通过手术修补胃穿孔等损伤。</t>
  </si>
  <si>
    <t>所定价格涵盖手术计划、术区准备、消毒、切开、探查、分离、修复、冲洗、止血、引流、缝合、处理用物等步骤所需的人力资源和基本物质资源消耗。</t>
  </si>
  <si>
    <t>胃修补费-儿童（加收）</t>
  </si>
  <si>
    <t>胃修补费-多部位修补（加收）</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</si>
  <si>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</si>
  <si>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</si>
  <si>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</si>
  <si>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胃肠灌注造瘘/口费-儿童（加收）</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</si>
  <si>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</si>
  <si>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</si>
  <si>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</si>
  <si>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</si>
  <si>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消化道转流费（常规）-儿童（加收）</t>
  </si>
  <si>
    <t>消化道转流费（复杂）</t>
  </si>
  <si>
    <t>通过手术重新连接吻合消化道，实现复杂情况消化道重建。</t>
  </si>
  <si>
    <t>1.本项目中“复杂”指：胆肠吻合、胆胰转流、胰肠吻合、多吻合口的情况。2.不与其他含吻合步骤手术同时收取。</t>
  </si>
  <si>
    <t>消化道转流费（复杂）-儿童（加收）</t>
  </si>
  <si>
    <t>小肠部分切除费</t>
  </si>
  <si>
    <t>通过手术切除部分小肠组织。</t>
  </si>
  <si>
    <t>01恶性肿瘤切除11两个及以上肠段切除</t>
  </si>
  <si>
    <t>小肠部分切除费-恶性肿瘤切除（加收）</t>
  </si>
  <si>
    <t>小肠部分切除费-两个及以上肠段切除（加收）</t>
  </si>
  <si>
    <t>小肠部分切除费-儿童（加收）</t>
  </si>
  <si>
    <t>肠修补费</t>
  </si>
  <si>
    <t>通过手术修补肠穿孔等损伤。</t>
  </si>
  <si>
    <t>肠修补费-多部位修补（加收）</t>
  </si>
  <si>
    <t>肠修补费-儿童（加收）</t>
  </si>
  <si>
    <t>肠道狭窄成形费</t>
  </si>
  <si>
    <t>通过手术修复狭窄肠道。</t>
  </si>
  <si>
    <t>所定价格涵盖手术计划、术区准备、消毒、切开、探查、分离、切除、修复、成形、吻合、冲洗、止血、引流、缝合、处理用物等步骤所需的人力资源和基本物质资源消耗。</t>
  </si>
  <si>
    <t>01肠道闭锁成形11两处及以上肠道狭窄成形</t>
  </si>
  <si>
    <t>肠道狭窄成形费-肠道闭锁成形（加收）</t>
  </si>
  <si>
    <t>肠道狭窄成形费-两处及以上肠道狭窄成形（加收）</t>
  </si>
  <si>
    <t>肠道狭窄成形费-儿童（加收）</t>
  </si>
  <si>
    <t>肠管延长费</t>
  </si>
  <si>
    <t>通过手术增加肠管的有效长度。</t>
  </si>
  <si>
    <t>肠管延长费-儿童（加收）</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</si>
  <si>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</si>
  <si>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</si>
  <si>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</si>
  <si>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</si>
  <si>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肠粘连松解费（常规）-儿童（加收）</t>
  </si>
  <si>
    <t>肠粘连松解费（复杂）</t>
  </si>
  <si>
    <t>通过手术对复杂情况下的肠道粘连进行松解。</t>
  </si>
  <si>
    <t>本项目中的“复杂”指：既往接受腹部手术情况。</t>
  </si>
  <si>
    <t>肠粘连松解费（复杂）-儿童（加收）</t>
  </si>
  <si>
    <t>肠复位费</t>
  </si>
  <si>
    <t>通过手术对肠进行复位。</t>
  </si>
  <si>
    <t>所定价格涵盖手术计划、术区准备、消毒、切开、探查、分离、复位、固定、冲洗、止血、引流、缝合、处理用物等步骤所需的人力资源和基本物质资源消耗。</t>
  </si>
  <si>
    <t>01肠旋转不良矫治</t>
  </si>
  <si>
    <t>01胃复位</t>
  </si>
  <si>
    <t>1.不含肠切除。2.仅限胃/肠扭转、肠套叠等情况手术复位使用。</t>
  </si>
  <si>
    <t>肠复位费-儿童（加收）</t>
  </si>
  <si>
    <t>肠复位费-肠旋转不良矫治（加收）</t>
  </si>
  <si>
    <t>肠复位费-胃复位（扩展）</t>
  </si>
  <si>
    <t>腹腔探查费</t>
  </si>
  <si>
    <t>通过手术探查腹腔。</t>
  </si>
  <si>
    <t>所定价格涵盖手术计划、术区准备、消毒、切开、探查、缝合、处理用物等步骤所需的人力资源和基本物质资源消耗。</t>
  </si>
  <si>
    <t>1.不与相关腹腔手术同时收费。2.术后腹腔内出血、脓/血肿行手术探查及处理适用本项目收费。</t>
  </si>
  <si>
    <t>腹腔探查费-儿童（加收）</t>
  </si>
  <si>
    <t>阑尾切除费</t>
  </si>
  <si>
    <t>通过手术切除阑尾。</t>
  </si>
  <si>
    <t>所定价格涵盖手术计划、术区准备、消毒、切开、探查、分离、切除、冲洗、止血、引流、缝合、处理用物等步骤所需的人力资源和基本物质资源消耗。</t>
  </si>
  <si>
    <t>01穿孔/坏疽阑尾</t>
  </si>
  <si>
    <t>阑尾切除费-儿童（加收）</t>
  </si>
  <si>
    <t>阑尾切除费-穿孔/坏疽阑尾（加收）</t>
  </si>
  <si>
    <t>结肠部分切除费</t>
  </si>
  <si>
    <t>通过手术切除部分结肠。</t>
  </si>
  <si>
    <t>所定价格涵盖手术计划、术区准备、消毒、切开、探查、分离、切除、必要时吻合、止血、缝合、处理用物等步骤所需的人力资源和基本物质资源消耗。</t>
  </si>
  <si>
    <t>01恶性肿瘤切除02恶性肿瘤扩大根治性切除11两个及以上肠段切除</t>
  </si>
  <si>
    <t>结肠部分切除费-儿童（加收）</t>
  </si>
  <si>
    <t>结肠部分切除费-恶性肿瘤切除（加收）</t>
  </si>
  <si>
    <t>结肠部分切除费-恶性肿瘤扩大根治性切除（加收）</t>
  </si>
  <si>
    <t>结肠部分切除费-两个及以上肠段切除（加收）</t>
  </si>
  <si>
    <t>结肠全切除费</t>
  </si>
  <si>
    <t>通过手术切除全部结肠和部分直肠。</t>
  </si>
  <si>
    <t>结肠全切除费-儿童（加收）</t>
  </si>
  <si>
    <t>结肠全切除费-恶性肿瘤扩大根治性切除（加收）</t>
  </si>
  <si>
    <t>肠储存袋成形费</t>
  </si>
  <si>
    <t>通过手术制作储袋替代肠道功能。</t>
  </si>
  <si>
    <t>所定价格涵盖手术计划、术区准备、消毒、切开、探查、分离、制作储袋、冲洗、止血、引流、缝合、处理用物等步骤所需的人力资源和基本物质资源消耗。</t>
  </si>
  <si>
    <t>肠储存袋成形费-儿童（加收）</t>
  </si>
  <si>
    <t>结肠造瘘/口费</t>
  </si>
  <si>
    <t>通过手术将结肠提至体外，使肠道内容物排出。</t>
  </si>
  <si>
    <t>所定价格涵盖手术计划、术区准备、消毒、切开、探查、分离、切段、造口、固定、止血、缝合、处理用物等步骤所需的人力资源和基本物质资源消耗。</t>
  </si>
  <si>
    <t>01回肠造瘘/口</t>
  </si>
  <si>
    <t>结肠造瘘/口费-儿童（加收）</t>
  </si>
  <si>
    <t>结肠造瘘/口费-回肠造瘘/口（扩展）</t>
  </si>
  <si>
    <t>结肠悬吊费</t>
  </si>
  <si>
    <t>通过手术恢复脱垂结肠的生理结构。</t>
  </si>
  <si>
    <t>所定价格涵盖手术计划、术区准备、消毒、切开、探查、分离、悬吊、固定、止血、缝合、处理用物等步骤所需的人力资源和基本物质资源消耗。</t>
  </si>
  <si>
    <t>结肠悬吊费-儿童（加收）</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</si>
  <si>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</si>
  <si>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</si>
  <si>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</si>
  <si>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肠造瘘/口还纳费-儿童（加收）</t>
  </si>
  <si>
    <t>直肠病变切除费</t>
  </si>
  <si>
    <t>通过手术切除直肠病变（未侵犯直肠肌层）。</t>
  </si>
  <si>
    <t>所定价格涵盖手术计划、术区准备、消毒、切开、探查、分离、切除、止血、缝合、处理用物等步骤所需的人力资源和基本物质资源消耗。</t>
  </si>
  <si>
    <t>直肠病变切除费-儿童（加收）</t>
  </si>
  <si>
    <t>直肠部分切除费</t>
  </si>
  <si>
    <t>通过手术切除部分直肠。</t>
  </si>
  <si>
    <t>01恶性肿瘤切除11恶性肿瘤扩大根治性切除</t>
  </si>
  <si>
    <t>直肠部分切除费-儿童（加收）</t>
  </si>
  <si>
    <t>直肠部分切除费-恶性肿瘤切除（加收）</t>
  </si>
  <si>
    <t>直肠部分切除费-恶性肿瘤扩大根治性切除（加收）</t>
  </si>
  <si>
    <t>直肠全切除费</t>
  </si>
  <si>
    <t>通过手术切除全部直肠。</t>
  </si>
  <si>
    <t>所定价格涵盖手术计划、术区准备、消毒、切开、探查、分离、切除、造口、止血、缝合、处理用物等步骤所需的人力资源和基本物质资源消耗。</t>
  </si>
  <si>
    <t>直肠全切除费-儿童（加收）</t>
  </si>
  <si>
    <t>直肠全切除费-恶性肿瘤扩大根治性切除（加收）</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</si>
  <si>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</si>
  <si>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</si>
  <si>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</si>
  <si>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01经括约肌间切除02直肠经腹肛管拉出切除03经肛全直肠系膜切除</t>
  </si>
  <si>
    <t>超低位直肠癌根治费（保肛）-儿童（加收）</t>
  </si>
  <si>
    <t>超低位直肠癌根治费（保肛）-经括约肌间切除（加收）</t>
  </si>
  <si>
    <t>超低位直肠癌根治费（保肛）-直肠经腹肛管拉出切除（加收）</t>
  </si>
  <si>
    <t>超低位直肠癌根治费（保肛）-经肛全直肠系膜切除（加收）</t>
  </si>
  <si>
    <t>肠道切开异物取出费</t>
  </si>
  <si>
    <t>通过手术切开肠道取出异物。</t>
  </si>
  <si>
    <t>所定价格涵盖手术计划、术区准备、消毒、切开、探查、分离、异物取出、止血、缝合、处理用物等步骤所需的人力资源和基本物质资源消耗。</t>
  </si>
  <si>
    <t>肠道切开异物取出费-儿童（加收）</t>
  </si>
  <si>
    <t>直肠脱垂修复费</t>
  </si>
  <si>
    <t>通过手术恢复脱垂直肠的生理结构。</t>
  </si>
  <si>
    <t>所定价格涵盖手术计划、术区准备、消毒、切开、探查、分离、切除、修复、固定、冲洗、止血、引流、缝合、处理用物等步骤所需的人力资源和基本物质资源消耗。</t>
  </si>
  <si>
    <t>直肠脱垂修复费-儿童（加收）</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</si>
  <si>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</si>
  <si>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</si>
  <si>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</si>
  <si>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直肠前突修补费-儿童（加收）</t>
  </si>
  <si>
    <t>肛门会阴成形费</t>
  </si>
  <si>
    <t>通过手术修复肛门会阴解剖结构。</t>
  </si>
  <si>
    <t>所定价格涵盖手术计划、术区准备、消毒、切开、探查、分离、肛门/会阴重建、冲洗、止血、引流、缝合、处理用物等步骤所需的人力资源和基本物质资源消耗。</t>
  </si>
  <si>
    <t>01先天性肛门闭锁成形</t>
  </si>
  <si>
    <t>肛门会阴成形费-儿童（加收）</t>
  </si>
  <si>
    <t>肛门会阴成形费-先天性肛门闭锁成形（扩展）</t>
  </si>
  <si>
    <t>人工肛门括约肌植入费</t>
  </si>
  <si>
    <t>通过手术植入人工肛门括约肌。</t>
  </si>
  <si>
    <t>所定价格涵盖手术计划、术区准备、消毒、切开、探查、分离、植入、冲洗、止血、引流、缝合、处理用物等步骤所需的人力资源和基本物质资源消耗。</t>
  </si>
  <si>
    <t>人工肛门括约肌植入费-儿童（加收）</t>
  </si>
  <si>
    <t>人工肛门括约肌取出费</t>
  </si>
  <si>
    <t>通过手术取出人工肛门括约肌。</t>
  </si>
  <si>
    <t>所定价格涵盖手术计划、术区准备、消毒、切开、探查、分离、取出、止血、缝合、处理用物等步骤所需的人力资源和基本物质资源消耗。</t>
  </si>
  <si>
    <t>人工肛门括约肌取出费-儿童（加收）</t>
  </si>
  <si>
    <t>先天性一穴肛矫治费</t>
  </si>
  <si>
    <t>通过手术矫治先天性一穴肛。</t>
  </si>
  <si>
    <t>所定价格涵盖手术计划、术区准备、消毒、切开、探查、分离、切除、重建、吻合、止血、缝合、处理用物等步骤所需的人力资源和基本物质资源消耗。</t>
  </si>
  <si>
    <t>甲类（限14岁以下）</t>
  </si>
  <si>
    <t>先天性一穴肛矫治费-儿童（加收）</t>
  </si>
  <si>
    <t>盆腔脓肿切开引流费</t>
  </si>
  <si>
    <t>通过手术切开引流盆腔脓肿。</t>
  </si>
  <si>
    <t>所定价格涵盖手术计划、术区准备、消毒、切开、探查、冲洗、止血、引流、包扎固定、处理用物等步骤所需的人力资源和基本物质资源消耗。</t>
  </si>
  <si>
    <t>盆腔脓肿切开引流费-儿童（加收）</t>
  </si>
  <si>
    <t>腹盆腔异物取出费</t>
  </si>
  <si>
    <t>通过手术取出腹盆腔异物。</t>
  </si>
  <si>
    <t>腹盆腔异物取出费-儿童（加收）</t>
  </si>
  <si>
    <t>肛门镜检查费</t>
  </si>
  <si>
    <t>通过肛门镜观察肛管、直肠内有无病变及异常。</t>
  </si>
  <si>
    <t>所定价格涵盖准备、消毒、置镜、观察、记录、撤镜、处理用物等步骤所需的人力资源和基本物质资源消耗。</t>
  </si>
  <si>
    <t>肛门镜检查费-儿童（加收）</t>
  </si>
  <si>
    <t>肛门指检费</t>
  </si>
  <si>
    <t>通过指诊对肛门、肛管、直肠下段进行检查。</t>
  </si>
  <si>
    <t>所定价格涵盖准备、指检、观察、记录、处理用物等步骤所需的人力资源和基本物质资源消耗。</t>
  </si>
  <si>
    <t>肛门指检费-儿童（加收）</t>
  </si>
  <si>
    <t>扩肛治疗费</t>
  </si>
  <si>
    <t>通过人工或器械手段扩肛。</t>
  </si>
  <si>
    <t>所定价格涵盖准备、按摩、反复扩张、处理用物等步骤所需的人力资源和基本物质资源消耗。</t>
  </si>
  <si>
    <t>扩肛治疗费-儿童（加收）</t>
  </si>
  <si>
    <t>直肠内异物取出费</t>
  </si>
  <si>
    <t>通过手法或器械取出直肠内异物。</t>
  </si>
  <si>
    <t>所定价格涵盖准备、消毒、扩张、异物取出、冲洗、处理用物等步骤所需的人力资源和基本物质资源消耗。</t>
  </si>
  <si>
    <t>直肠内异物取出费-儿童（加收）</t>
  </si>
  <si>
    <t>外痔切除费</t>
  </si>
  <si>
    <t>通过手术剥离切除外痔。</t>
  </si>
  <si>
    <t>所定价格涵盖手术计划、术区准备、消毒、探查、分离、切除、冲洗、止血、引流、包扎固定、处理用物等步骤所需的人力资源和基本物质资源消耗。</t>
  </si>
  <si>
    <t>01嵌顿血栓性外痔</t>
  </si>
  <si>
    <t>1.本项目中的“次”指：3个及以下外痔，超过3个外痔，每增加1个外痔按10%进行加收，超过8个按8个收费。2.混合痔治疗可按照内痔、外痔治疗分别收费。</t>
  </si>
  <si>
    <t>外痔切除费-儿童（加收）</t>
  </si>
  <si>
    <t>外痔切除费-嵌顿血栓性外痔（加收）</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</si>
  <si>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</si>
  <si>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</si>
  <si>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</si>
  <si>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1.本项目中的“次”指：3个及以下内痔，超过3个内痔，每增加1个内痔按10%进行加收。超过10个按10个收费。2.混合痔治疗可按照内痔、外痔治疗分别收费。</t>
  </si>
  <si>
    <t>内痔切除费-儿童（加收）</t>
  </si>
  <si>
    <t>注射费（痔疮硬化）</t>
  </si>
  <si>
    <t>通过注射治疗痔疮。</t>
  </si>
  <si>
    <t>所定价格涵盖制定计划、消毒、准备、注射、包扎固定、处理用物等步骤所需的人力资源和基本物质资源消耗。</t>
  </si>
  <si>
    <t>痔核</t>
  </si>
  <si>
    <t>注射费（痔疮硬化）-儿童（加收）</t>
  </si>
  <si>
    <t>注射费（直肠脱垂）</t>
  </si>
  <si>
    <t>通过注射治疗直肠脱垂。</t>
  </si>
  <si>
    <t>01注射费（直肠前突）</t>
  </si>
  <si>
    <t>注射费（直肠脱垂）-儿童（加收）</t>
  </si>
  <si>
    <t>注射费（直肠脱垂）-注射费（直肠前突）（扩展）</t>
  </si>
  <si>
    <t>注射费（肛周封闭）</t>
  </si>
  <si>
    <t>通过局部多点注射进行肛周封闭。</t>
  </si>
  <si>
    <t>所定价格涵盖制定计划、消毒、准备、多点注射、包扎固定、处理用物等步骤所需的人力资源和基本物质资源消耗。</t>
  </si>
  <si>
    <t>注射费（肛周封闭）-儿童（加收）</t>
  </si>
  <si>
    <t>内痔套扎费</t>
  </si>
  <si>
    <t>通过套扎使内痔萎缩脱落。</t>
  </si>
  <si>
    <t>所定价格涵盖制定计划、消毒、扩张、探查、剥离、套扎、包扎固定、处理用物等步骤所需的人力资源和基本物质资源消耗。</t>
  </si>
  <si>
    <t>内痔套扎费-儿童（加收）</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</si>
  <si>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</si>
  <si>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</si>
  <si>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</si>
  <si>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01多瘘管11弯曲瘘管</t>
  </si>
  <si>
    <t>本项目中的“多瘘管”指：大于等于2个瘘口或瘘管的情况。</t>
  </si>
  <si>
    <t>低位肛瘘修复费-儿童（加收）</t>
  </si>
  <si>
    <t>低位肛瘘修复费-多瘘管（加收）</t>
  </si>
  <si>
    <t>低位肛瘘修复费-弯曲瘘管（加收）</t>
  </si>
  <si>
    <t>高位肛瘘修复费</t>
  </si>
  <si>
    <t>通过手术修复高位肛瘘。</t>
  </si>
  <si>
    <t>所定价格涵盖手术计划、术区准备、消毒、探查、清创、挂线、必要时切除坏死组织、冲洗、止血、引流、包扎固定、处理用物等步骤所需的人力资源和基本物质资源消耗。</t>
  </si>
  <si>
    <t>高位肛瘘修复费-儿童（加收）</t>
  </si>
  <si>
    <t>肛裂修复费（常规）</t>
  </si>
  <si>
    <t>通过手术修复肛裂。</t>
  </si>
  <si>
    <t>所定价格涵盖手术计划、术区准备、消毒、扩张、切开、探查、切除、修复、包扎固定、处理用物等步骤所需的人力资源和基本物质资源消耗。</t>
  </si>
  <si>
    <t>肛裂修复费（常规）-儿童（加收）</t>
  </si>
  <si>
    <t>肛裂修复费（复杂）</t>
  </si>
  <si>
    <t>通过手术修复复杂肛裂。</t>
  </si>
  <si>
    <t>本项目中的“复杂”指：陈旧性肛裂伴皮下瘘、伴肛乳头瘤、伴哨兵的肛裂。</t>
  </si>
  <si>
    <t>肛裂修复费（复杂）-儿童（加收）</t>
  </si>
  <si>
    <t>肛周脓肿切开引流费</t>
  </si>
  <si>
    <t>通过手术切开引流肛周脓肿。</t>
  </si>
  <si>
    <t>肛周脓肿切开引流费-儿童（加收）</t>
  </si>
  <si>
    <t>肛周脓肿治疗费（常规）</t>
  </si>
  <si>
    <t>通过手术修复肛周脓肿。</t>
  </si>
  <si>
    <t>所定价格涵盖手术计划、术区准备、消毒、切开、探查、清除坏死组织、冲洗、止血、引流、包扎固定、处理用物等步骤所需的人力资源和基本物质资源消耗。</t>
  </si>
  <si>
    <t>肛周脓肿治疗费（常规）-儿童（加收）</t>
  </si>
  <si>
    <t>肛周脓肿治疗费（复杂）</t>
  </si>
  <si>
    <t>通过手术修复复杂肛周脓肿。</t>
  </si>
  <si>
    <t>本项目中的“复杂”指：肛周大汗腺炎、高位肛周脓肿、脓肿半径大于6cm、感染脓腔在外括约肌深层以上。</t>
  </si>
  <si>
    <t>肛周脓肿治疗费（复杂）-儿童（加收）</t>
  </si>
  <si>
    <t>肛周坏死性筋膜炎清创费</t>
  </si>
  <si>
    <t>通过手术切除肛周坏死组织，减轻感染扩散风险、促进伤口愈合。</t>
  </si>
  <si>
    <t>01病变范围累及阴囊</t>
  </si>
  <si>
    <t>肛周坏死性筋膜炎清创费-儿童（加收）</t>
  </si>
  <si>
    <t>肛周坏死性筋膜炎清创费-病变范围累及阴囊（加收）</t>
  </si>
  <si>
    <t>肛门括约肌修复费</t>
  </si>
  <si>
    <t>通过手术修复功能异常的肛门括约肌。</t>
  </si>
  <si>
    <t>所定价格涵盖手术计划、术区准备、消毒、切开、探查、修复、冲洗、止血、引流、缝合、包扎固定、处理用物等步骤所需的人力资源和基本物质资源消耗。</t>
  </si>
  <si>
    <t>肛门括约肌修复费-儿童（加收）</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</si>
  <si>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</si>
  <si>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</si>
  <si>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</si>
  <si>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肛门直肠狭窄修复费-儿童（加收）</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</si>
  <si>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</si>
  <si>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</si>
  <si>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</si>
  <si>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</si>
  <si>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藏毛窦囊肿切除费-儿童（加收）</t>
  </si>
  <si>
    <t>骶前囊肿切除费</t>
  </si>
  <si>
    <t>通过手术切除骶前囊肿。</t>
  </si>
  <si>
    <t>骶前囊肿切除费-儿童（加收）</t>
  </si>
  <si>
    <t>肛肠术后挂线调整费</t>
  </si>
  <si>
    <t>调整、拆除挂线。</t>
  </si>
  <si>
    <t>所定价格涵盖准备、消毒、探查、挂线调整、包扎固定、拆线、处理用物等步骤所需的人力资源和基本物质资源消耗。</t>
  </si>
  <si>
    <t>肛肠术后挂线调整费-儿童（加收）</t>
  </si>
  <si>
    <t>肝脏病变非解剖性切除费</t>
  </si>
  <si>
    <t>通过手术将肝部病变行非解剖性切除。</t>
  </si>
  <si>
    <t>本项目中的“次”指：切除2个及2个以内病变，超过2个病变每多切除1个病变按20%加收。超过6个按6个收费。</t>
  </si>
  <si>
    <t>肝脏病变非解剖性切除费-儿童（加收）</t>
  </si>
  <si>
    <t>半肝切除费</t>
  </si>
  <si>
    <t>通过手术切除半侧肝组织。</t>
  </si>
  <si>
    <t>01肝三叶切除11临近动/静脉系统修补或重建</t>
  </si>
  <si>
    <t>不与“肝段解剖性切除费”同时收取。</t>
  </si>
  <si>
    <t>半肝切除费-儿童（加收）</t>
  </si>
  <si>
    <t>半肝切除费-肝三叶切除（加收）</t>
  </si>
  <si>
    <t>半肝切除费-临近动/静脉系统修补或重建（加收）</t>
  </si>
  <si>
    <t>肝段解剖性切除费</t>
  </si>
  <si>
    <t>通过手术将部分肝段组织行解剖性切除。</t>
  </si>
  <si>
    <t>01多肝段切除11临近动/静脉系统修补或重建</t>
  </si>
  <si>
    <t>1.本项目中的“肝段解剖性切除”指：根据临床解剖Couinaud分段，完整切除肝段。2.不与半肝切除费同时收取。</t>
  </si>
  <si>
    <t>肝段解剖性切除费-儿童（加收）</t>
  </si>
  <si>
    <t>肝段解剖性切除费-多肝段切除（加收）</t>
  </si>
  <si>
    <t>肝段解剖性切除费-临近动/静脉系统修补或重建（加收）</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</si>
  <si>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</si>
  <si>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</si>
  <si>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</si>
  <si>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</si>
  <si>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肝脏病损预切除费（一期）-儿童（加收）</t>
  </si>
  <si>
    <t>肝脏修补费</t>
  </si>
  <si>
    <t>通过手术修补损伤的肝脏。</t>
  </si>
  <si>
    <t>所定价格涵盖手术计划、术区准备、消毒、切开、探查、分离、修补、止血、缝合、处理用物等步骤所需的人力资源和基本物质资源消耗。</t>
  </si>
  <si>
    <t>肝脏修补费-儿童（加收）</t>
  </si>
  <si>
    <t>肝脏修补费-多部位修补（加收）</t>
  </si>
  <si>
    <t>肝内异物取出费</t>
  </si>
  <si>
    <t>通过手术取出肝内异物。</t>
  </si>
  <si>
    <t>所定价格涵盖手术计划、术区准备、消毒、切开、探查、分离、异物取出、冲洗、止血、引流、缝合、处理用物等步骤所需的人力资源和基本物质资源消耗。</t>
  </si>
  <si>
    <t>肝内异物取出费-儿童（加收）</t>
  </si>
  <si>
    <t>胆囊切除费</t>
  </si>
  <si>
    <t>通过手术切除胆囊。</t>
  </si>
  <si>
    <t>01穿孔/坏疽胆囊02Mirizzi综合征</t>
  </si>
  <si>
    <t>胆囊切除费-儿童（加收）</t>
  </si>
  <si>
    <t>胆囊切除费-穿孔/坏疽胆囊（加收）</t>
  </si>
  <si>
    <t>胆囊切除费-Mirizzi综合征（加收）</t>
  </si>
  <si>
    <t>胆囊根治性切除费</t>
  </si>
  <si>
    <t>通过手术切除胆囊和部分肝组织</t>
  </si>
  <si>
    <t>胆囊根治性切除费-儿童（加收）</t>
  </si>
  <si>
    <t>胆囊根治性切除费-恶性肿瘤扩大根治性切除（加收）</t>
  </si>
  <si>
    <t>胆管切除费</t>
  </si>
  <si>
    <t>通过手术切除病变胆管。</t>
  </si>
  <si>
    <t>01临近动/静脉系统修补或重建</t>
  </si>
  <si>
    <t>胆管切除行空肠吻合按“消化道转流（复杂）”收费。</t>
  </si>
  <si>
    <t>胆管切除费-儿童（加收）</t>
  </si>
  <si>
    <t>胆管切除费-临近动/静脉系统修补或重建（加收）</t>
  </si>
  <si>
    <t>胆囊造瘘/口费</t>
  </si>
  <si>
    <t>通过手术形成胆囊造瘘/口。</t>
  </si>
  <si>
    <t>所定价格涵盖手术计划、术区准备、消毒、切开、探查、分离、置管、固定、止血、缝合、处理用物等步骤所需的人力资源和基本物质资源消耗。</t>
  </si>
  <si>
    <t>胆囊造瘘/口费-儿童（加收）</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</si>
  <si>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</si>
  <si>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</si>
  <si>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</si>
  <si>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</si>
  <si>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胆管引流费-儿童（加收）</t>
  </si>
  <si>
    <t>胆管内置入物取出费</t>
  </si>
  <si>
    <t>通过手术取出胆管内支架等置入物。</t>
  </si>
  <si>
    <t>所定价格涵盖手术计划、术区准备、消毒、切开、探查、分离、取出、冲洗、止血、引流、缝合、处理用物等步骤所需的人力资源和基本物质资源消耗。</t>
  </si>
  <si>
    <t>胆管内置入物取出费-儿童（加收）</t>
  </si>
  <si>
    <t>胆囊切开取石费</t>
  </si>
  <si>
    <t>通过手术切开取出胆囊结石。</t>
  </si>
  <si>
    <t>所定价格涵盖手术计划、术区准备、消毒、切开、探查、分离、取石、修补、冲洗、止血、引流、缝合、处理用物等步骤所需的人力资源和基本物质资源消耗。</t>
  </si>
  <si>
    <t>胆囊切开取息肉按照此项目收费。</t>
  </si>
  <si>
    <t>胆囊切开取石费-儿童（加收）</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</si>
  <si>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</si>
  <si>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</si>
  <si>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</si>
  <si>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</si>
  <si>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胆管切开取石费-儿童（加收）</t>
  </si>
  <si>
    <t>胆管修补费</t>
  </si>
  <si>
    <t>通过手术修补损伤的胆管。</t>
  </si>
  <si>
    <t>不与“胆管修补成形费”同时收取。</t>
  </si>
  <si>
    <t>胆管修补费-儿童（加收）</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</si>
  <si>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</si>
  <si>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</si>
  <si>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</si>
  <si>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</si>
  <si>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胆管修补成形费-儿童（加收）</t>
  </si>
  <si>
    <t>胰十二指肠切除费</t>
  </si>
  <si>
    <t>通过手术治疗壶腹周围组织病变。</t>
  </si>
  <si>
    <t>胰十二指肠切除费-儿童（加收）</t>
  </si>
  <si>
    <t>胰十二指肠切除费-临近动/静脉系统修补或重建（加收）</t>
  </si>
  <si>
    <t>胰头切除费（保十二指肠）</t>
  </si>
  <si>
    <t>通过手术治疗壶腹周围组织病变。（保留十二指肠）</t>
  </si>
  <si>
    <t>胰头切除费（保十二指肠）-儿童（加收）</t>
  </si>
  <si>
    <t>胰体尾脾切除费</t>
  </si>
  <si>
    <t>通过手术切除胰腺体尾部病变及脾脏。</t>
  </si>
  <si>
    <t>胰体尾脾切除费-儿童（加收）</t>
  </si>
  <si>
    <t>胰体尾脾切除费-恶性肿瘤扩大根治性切除（加收）</t>
  </si>
  <si>
    <t>胰体尾切除费（保脾）</t>
  </si>
  <si>
    <t>通过手术切除胰腺体尾部病变。（保留脾脏）</t>
  </si>
  <si>
    <t>01保留脾血管</t>
  </si>
  <si>
    <t>胰体尾切除费（保脾）-儿童（加收）</t>
  </si>
  <si>
    <t>胰体尾切除费（保脾）-保留脾血管（加收）</t>
  </si>
  <si>
    <t>胰腺病变切除费</t>
  </si>
  <si>
    <t>通过手术切除胰腺病变。</t>
  </si>
  <si>
    <t>胰腺病变切除费-儿童（加收）</t>
  </si>
  <si>
    <t>胰腺节段切除费</t>
  </si>
  <si>
    <t>通过手术切除胰腺节段。</t>
  </si>
  <si>
    <t>胰腺节段切除费-儿童（加收）</t>
  </si>
  <si>
    <t>胰腺全切除费</t>
  </si>
  <si>
    <t>通过手术切除全部胰腺和（或）周围组织。</t>
  </si>
  <si>
    <t>所定价格涵盖手术计划、术区准备、消毒、切开、探查、分离、切除、吻合、止血、缝合、处理用物等步骤所需的人力资源和基本物质资源消耗。</t>
  </si>
  <si>
    <t>胰腺全切除费-儿童（加收）</t>
  </si>
  <si>
    <t>胰腺全切除费-临近动/静脉系统修补或重建（加收）</t>
  </si>
  <si>
    <t>胰腺修补费</t>
  </si>
  <si>
    <t>通过手术修补损伤的胰腺。</t>
  </si>
  <si>
    <t>胰腺修补费-儿童（加收）</t>
  </si>
  <si>
    <t>胰腺修补费-多部位修补（加收）</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</si>
  <si>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</si>
  <si>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</si>
  <si>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</si>
  <si>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坏死性胰腺炎清创引流费-儿童（加收）</t>
  </si>
  <si>
    <t>胰管切开取石费</t>
  </si>
  <si>
    <t>通过手术切开取出胰管结石。</t>
  </si>
  <si>
    <t>所定价格涵盖手术计划、术区准备、消毒、切开、探查、分离、取石、冲洗、止血、引流、缝合、处理用物等步骤所需的人力资源和基本物质资源消耗。</t>
  </si>
  <si>
    <t>胰管切开取石费-儿童（加收）</t>
  </si>
  <si>
    <t>脾部分切除费</t>
  </si>
  <si>
    <t>通过手术切除部分脾脏。</t>
  </si>
  <si>
    <t>脾部分切除费-儿童（加收）</t>
  </si>
  <si>
    <t>脾全切除费</t>
  </si>
  <si>
    <t>通过手术切除全部脾脏。</t>
  </si>
  <si>
    <t>01III度脾肿大</t>
  </si>
  <si>
    <t>01脾全切自体脾移植</t>
  </si>
  <si>
    <t>脾全切除费-儿童（加收）</t>
  </si>
  <si>
    <t>脾全切除费-III度脾肿大（加收）</t>
  </si>
  <si>
    <t>脾全切除费-脾全切自体脾移植（扩展）</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</si>
  <si>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</si>
  <si>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</si>
  <si>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</si>
  <si>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01异种器官</t>
  </si>
  <si>
    <t>1.该项目属于《器官移植环节手术价格项目立项指南》增补项目。2.脾移植不可收取“脾全切除费”。</t>
  </si>
  <si>
    <t>脾移植费-儿童（加收）</t>
  </si>
  <si>
    <t>脾移植费-异种器官（扩展）</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</si>
  <si>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</si>
  <si>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</si>
  <si>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</si>
  <si>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1.仅限于合法进行的活体器官捐献。2.该项目属于《器官移植环节手术价格项目立项指南》增补项目。</t>
  </si>
  <si>
    <t>供脾切取费-儿童（加收）</t>
  </si>
  <si>
    <t>脾脏修补费</t>
  </si>
  <si>
    <t>通过手术修补损伤的脾脏。</t>
  </si>
  <si>
    <t>脾脏修补费-儿童（加收）</t>
  </si>
  <si>
    <t>脾脏修补费-多部位修补（加收）</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</si>
  <si>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</si>
  <si>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</si>
  <si>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</si>
  <si>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脾肺固定分流费-儿童（加收）</t>
  </si>
  <si>
    <t>淋巴结清扫费（腋窝）</t>
  </si>
  <si>
    <t>通过手术清扫腋窝淋巴结。</t>
  </si>
  <si>
    <t>所定价格涵盖手术计划、术区准备、消毒、切开、探查、分离、切除、处理用物等步骤所需的人力资源和基本物质资源消耗。</t>
  </si>
  <si>
    <t>淋巴结清扫费（腋窝）-儿童（加收）</t>
  </si>
  <si>
    <t>淋巴结清扫费（腹部）</t>
  </si>
  <si>
    <t>通过手术清扫腹部（腹腔及周围区域）淋巴结。</t>
  </si>
  <si>
    <t>淋巴结清扫费（腹部）-儿童（加收）</t>
  </si>
  <si>
    <t>淋巴结清扫费（下肢）</t>
  </si>
  <si>
    <t>通过手术清扫下肢淋巴结。</t>
  </si>
  <si>
    <t>淋巴结清扫费（下肢）-儿童（加收）</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</si>
  <si>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</si>
  <si>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</si>
  <si>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</si>
  <si>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01大动脉造影11一级分支多根血管造影21二级及以下分支血管造影</t>
  </si>
  <si>
    <t>1.本项目所称的“一级分支多根血管”不含一级血管下属的分支血管。2.不与X线透视引导辅助操作费（数字减影）同时收取。</t>
  </si>
  <si>
    <t>血管造影检查费-大动脉造影（加收）</t>
  </si>
  <si>
    <t>血管造影检查费-一级分支多根血管造影（加收）</t>
  </si>
  <si>
    <t>血管造影检查费-二级及以下分支血管造影（加收）</t>
  </si>
  <si>
    <t>淋巴造影检查费</t>
  </si>
  <si>
    <t>通过将造影剂注入淋巴管，观察造影剂在淋巴管内的流动和分布情况。</t>
  </si>
  <si>
    <t>不与X线透视引导辅助操作费（数字减影）同时收取。</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</si>
  <si>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</si>
  <si>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</si>
  <si>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</si>
  <si>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</si>
  <si>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经血管介入治疗原则上以经一根血管的介入治疗为起点，每增加一根血管的治疗按20%加收，加收最高不超过该项治疗的100%。</t>
  </si>
  <si>
    <t>大动脉球囊扩张费（介入）-儿童（加收）</t>
  </si>
  <si>
    <t>头臂动脉球囊扩张费（介入）</t>
  </si>
  <si>
    <t>通过介入方式置入球囊扩张头臂动脉。</t>
  </si>
  <si>
    <t>头臂动脉球囊扩张费（介入）-儿童（加收）</t>
  </si>
  <si>
    <t>肢体动脉球囊扩张费（介入）</t>
  </si>
  <si>
    <t>通过介入方式置入球囊扩张肢体动脉。</t>
  </si>
  <si>
    <t>01股浅动脉</t>
  </si>
  <si>
    <t>肢体动脉球囊扩张费（介入）-儿童（加收）</t>
  </si>
  <si>
    <t>肢体动脉球囊扩张费（介入）-股浅动脉（加收）</t>
  </si>
  <si>
    <t>内脏动脉球囊扩张费（介入）</t>
  </si>
  <si>
    <t>通过介入方式置入球囊扩张内脏动脉。</t>
  </si>
  <si>
    <t>内脏动脉球囊扩张费（介入）-儿童（加收）</t>
  </si>
  <si>
    <t>大静脉球囊扩张费（介入）</t>
  </si>
  <si>
    <t>通过介入方式置入球囊扩张大静脉。</t>
  </si>
  <si>
    <t>大静脉球囊扩张费（介入）-儿童（加收）</t>
  </si>
  <si>
    <t>头臂静脉球囊扩张费（介入）</t>
  </si>
  <si>
    <t>通过介入方式置入球囊扩张头臂静脉。</t>
  </si>
  <si>
    <t>头臂静脉球囊扩张费（介入）-儿童（加收）</t>
  </si>
  <si>
    <t>肢体静脉球囊扩张费（介入）</t>
  </si>
  <si>
    <t>通过介入方式置入球囊扩张肢体静脉。</t>
  </si>
  <si>
    <t>肢体静脉球囊扩张费（介入）-儿童（加收）</t>
  </si>
  <si>
    <t>内脏静脉球囊扩张费（介入）</t>
  </si>
  <si>
    <t>通过介入方式置入球囊扩张内脏静脉。</t>
  </si>
  <si>
    <t>内脏静脉球囊扩张费（介入）-儿童（加收）</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</si>
  <si>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</si>
  <si>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</si>
  <si>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</si>
  <si>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1.以置入支架为目的，同部位行球囊扩张的不得同时收取“球囊扩张费（介入）”。2.经血管介入治疗原则上以经一根血管的介入治疗为起点，每增加一根血管的治疗按20%加收，加收最高不超过该项治疗的100%。</t>
  </si>
  <si>
    <t>大动脉支架置入费（介入）-儿童（加收）</t>
  </si>
  <si>
    <t>头臂动脉支架置入费（介入）</t>
  </si>
  <si>
    <t>通过介入方式置入支架扩张头臂动脉。</t>
  </si>
  <si>
    <t>头臂动脉支架置入费（介入）-儿童（加收）</t>
  </si>
  <si>
    <t>肢体动脉支架置入费（介入）</t>
  </si>
  <si>
    <t>通过介入方式置入支架扩张肢体动脉。</t>
  </si>
  <si>
    <t>肢体动脉支架置入费（介入）-儿童（加收）</t>
  </si>
  <si>
    <t>内脏动脉支架置入费（介入）</t>
  </si>
  <si>
    <t>通过介入方式置入支架扩张内脏动脉。</t>
  </si>
  <si>
    <t>内脏动脉支架置入费（介入）-儿童（加收）</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</si>
  <si>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</si>
  <si>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</si>
  <si>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</si>
  <si>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以置入支架为目的，同部位行球囊扩张的不得同时收取“球囊扩张费（介入）”。</t>
  </si>
  <si>
    <t>主动脉分支血管支架置入费（介入）-儿童（加收）</t>
  </si>
  <si>
    <t>大静脉支架置入费（介入）</t>
  </si>
  <si>
    <t>通过介入方式置入支架扩张大静脉。</t>
  </si>
  <si>
    <t>大静脉支架置入费（介入）-儿童（加收）</t>
  </si>
  <si>
    <t>头臂静脉支架置入费（介入）</t>
  </si>
  <si>
    <t>通过介入方式置入支架扩张头臂静脉。</t>
  </si>
  <si>
    <t>头臂静脉支架置入费（介入）-儿童（加收）</t>
  </si>
  <si>
    <t>肢体静脉支架置入费（介入）</t>
  </si>
  <si>
    <t>通过介入方式置入支架扩张肢体静脉。</t>
  </si>
  <si>
    <t>肢体静脉支架置入费（介入）-儿童（加收）</t>
  </si>
  <si>
    <t>内脏静脉支架置入费（介入）</t>
  </si>
  <si>
    <t>通过介入方式置入支架扩张内脏静脉。</t>
  </si>
  <si>
    <t>内脏静脉支架置入费（介入）-儿童（加收）</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</si>
  <si>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</si>
  <si>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</si>
  <si>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</si>
  <si>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大动脉腔内减容费（介入）-儿童（加收）</t>
  </si>
  <si>
    <t>头臂动脉腔内减容费（介入）</t>
  </si>
  <si>
    <t>通过激光、旋切、旋磨、振波、血栓抽吸等各种物理或机械方式消除头臂动脉斑块或血栓。</t>
  </si>
  <si>
    <t>头臂动脉腔内减容费（介入）-儿童（加收）</t>
  </si>
  <si>
    <t>肢体动脉腔内减容费（介入）</t>
  </si>
  <si>
    <t>通过激光、旋切、旋磨、振波、血栓抽吸等各种物理或机械方式消除肢体动脉斑块或血栓。</t>
  </si>
  <si>
    <t>肢体动脉腔内减容费（介入）-儿童（加收）</t>
  </si>
  <si>
    <t>内脏动脉腔内减容费（介入）</t>
  </si>
  <si>
    <t>通过激光、旋切、旋磨、振波、血栓抽吸等各种物理或机械方式消除内脏动脉斑块或血栓。</t>
  </si>
  <si>
    <t>内脏动脉腔内减容费（介入）-儿童（加收）</t>
  </si>
  <si>
    <t>大静脉腔内减容费（介入）</t>
  </si>
  <si>
    <t>通过激光、旋切、旋磨、振波、血栓抽吸等各种物理或机械方式消除大静脉斑块或血栓。</t>
  </si>
  <si>
    <t>大静脉腔内减容费（介入）-儿童（加收）</t>
  </si>
  <si>
    <t>头臂静脉腔内减容费（介入）</t>
  </si>
  <si>
    <t>通过激光、旋切、旋磨、振波、血栓抽吸等各种物理或机械方式消除头臂静脉斑块或血栓。</t>
  </si>
  <si>
    <t>头臂静脉腔内减容费（介入）-儿童（加收）</t>
  </si>
  <si>
    <t>肢体静脉腔内减容费（介入）</t>
  </si>
  <si>
    <t>通过激光、旋切、旋磨、振波、血栓抽吸等各种物理或机械方式消除肢体静脉斑块或血栓。</t>
  </si>
  <si>
    <t>肢体静脉腔内减容费（介入）-儿童（加收）</t>
  </si>
  <si>
    <t>内脏静脉腔内减容费（介入）</t>
  </si>
  <si>
    <t>通过激光、旋切、旋磨、振波、血栓抽吸等各种物理或机械方式消除内脏静脉斑块或血栓。</t>
  </si>
  <si>
    <t>内脏静脉腔内减容费（介入）-儿童（加收）</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</si>
  <si>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</si>
  <si>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</si>
  <si>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</si>
  <si>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血管置管治疗费（介入）-儿童（加收）</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</si>
  <si>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</si>
  <si>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</si>
  <si>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</si>
  <si>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血管栓塞费（介入）-儿童（加收）</t>
  </si>
  <si>
    <t>动静脉畸形/动静脉瘘介入栓塞费（常规）</t>
  </si>
  <si>
    <t>通过经皮穿刺（经导管）将栓塞材料或药物送入畸形动静脉/动静脉瘘，栓塞病变。</t>
  </si>
  <si>
    <t>动静脉畸形/动静脉瘘介入栓塞费（常规）-儿童（加收）</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</si>
  <si>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</si>
  <si>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</si>
  <si>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</si>
  <si>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动静脉畸形/动静脉瘘介入栓塞费（复杂）-儿童（加收）</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</si>
  <si>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</si>
  <si>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</si>
  <si>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</si>
  <si>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淋巴管置管治疗费（介入）-儿童（加收）</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</si>
  <si>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</si>
  <si>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</si>
  <si>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</si>
  <si>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淋巴栓塞费（介入）-儿童（加收）</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</si>
  <si>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</si>
  <si>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</si>
  <si>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</si>
  <si>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血管腔内封堵费（介入）-儿童（加收）</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</si>
  <si>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</si>
  <si>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</si>
  <si>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</si>
  <si>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血管保护装置置入费（介入）-儿童（加收）</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</si>
  <si>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</si>
  <si>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</si>
  <si>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</si>
  <si>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1.同台手术中，同一血管不得同时收取“血管保护装置置入费（介入）”和“血管保护装置取出费（介入）”。2.经血管介入治疗原则上以经一根血管的介入治疗为起点，每增加一根血管的治疗按20%加收，加收最高不超过该项治疗的100%。</t>
  </si>
  <si>
    <t>血管保护装置取出费（介入）-儿童（加收）</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</si>
  <si>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</si>
  <si>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</si>
  <si>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</si>
  <si>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血管异物取出费（介入）-儿童（加收）</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</si>
  <si>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</si>
  <si>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</si>
  <si>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</si>
  <si>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心内异物取出费（介入）-儿童（加收）</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</si>
  <si>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</si>
  <si>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</si>
  <si>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</si>
  <si>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2.同一血管不与腔内减容费同时收费。3.经血管介入治疗原则上以经一根血管的介入治疗为起点，每增加一根血管的治疗按20%加收，加收最高不超过该项治疗的100%。</t>
  </si>
  <si>
    <t>血管消融治疗费（介入）-儿童（加收）</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</si>
  <si>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</si>
  <si>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</si>
  <si>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</si>
  <si>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慢性闭塞血管逆向再通费（介入）-儿童（加收）</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</si>
  <si>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</si>
  <si>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</si>
  <si>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</si>
  <si>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为建立一条通道涉及的2根或多根静脉，按照1根血管计数。</t>
  </si>
  <si>
    <t>静脉分流费（介入）-儿童（加收）</t>
  </si>
  <si>
    <t>动静脉转流费（介入）</t>
  </si>
  <si>
    <t>通过经皮穿刺建立动脉与静脉之间的通道。</t>
  </si>
  <si>
    <t>为建立一条通道涉及的动静脉，按照1根血管计数。</t>
  </si>
  <si>
    <t>动静脉转流费（介入）-儿童（加收）</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</si>
  <si>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</si>
  <si>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</si>
  <si>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</si>
  <si>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01大隐静脉闭合费（介入）11小隐静脉闭合费（介入）</t>
  </si>
  <si>
    <t>单肢</t>
  </si>
  <si>
    <t>本项目所称的各种方式包括但不限于激光、射频、旋磨、超声、微波、蒸汽、机械和/或化学方式。</t>
  </si>
  <si>
    <t>下肢静脉闭合费（介入）-儿童（加收）</t>
  </si>
  <si>
    <t>下肢静脉闭合费（介入）-大隐静脉闭合费（介入）（加收）</t>
  </si>
  <si>
    <t>下肢静脉闭合费（介入）-小隐静脉闭合费（介入）（加收）</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</si>
  <si>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</si>
  <si>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</si>
  <si>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</si>
  <si>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</si>
  <si>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</si>
  <si>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</si>
  <si>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</si>
  <si>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01脑血管血流储备功能检查费</t>
  </si>
  <si>
    <t>本项目所称的“外周血管血流储备功能检查费”指：外周血管造影检查中通过压力导丝、传感器、造影图像等方式获取的血流储备功能情况。</t>
  </si>
  <si>
    <t>外周血管血流储备功能检查费-脑血管血流储备功能检查费（扩展）</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</si>
  <si>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</si>
  <si>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</si>
  <si>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</si>
  <si>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</si>
  <si>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血管探查费（开胸/开腹）-儿童（加收）</t>
  </si>
  <si>
    <t>血管探查费（非开胸/开腹）</t>
  </si>
  <si>
    <t>通过非开胸/开腹手术切开探查血管。</t>
  </si>
  <si>
    <t>所定价格涵盖手术计划、术区准备、消毒、切开血管、探查、缝合、止血、包扎、处理用物等步骤所需的人力资源和基本物质资源消耗。</t>
  </si>
  <si>
    <t>血管探查费（非开胸/开腹）-儿童（加收）</t>
  </si>
  <si>
    <t>主动脉瘤切除重建费（常规）</t>
  </si>
  <si>
    <t>通过手术切除主动脉瘤并进行功能重建。</t>
  </si>
  <si>
    <t>所定价格涵盖手术计划、术区准备、消毒、切开、分离、切除、重建、缝合、止血、包扎、处理用物等步骤所需的人力资源和基本物质资源消耗。</t>
  </si>
  <si>
    <t>1.切除后不进行功能重建的减收20%。2.含血管取用。</t>
  </si>
  <si>
    <t>主动脉瘤切除重建费（常规）-儿童（加收）</t>
  </si>
  <si>
    <t>主动脉瘤切除重建费（复杂）</t>
  </si>
  <si>
    <t>通过手术切除复杂情况下的主动脉瘤并进行功能重建。</t>
  </si>
  <si>
    <t>01破裂主动脉瘤</t>
  </si>
  <si>
    <t>1.本项目所称的“复杂”指：累及头臂干动脉、内脏动脉、感染及假性动脉瘤。2.切除后不进行功能重建的减收20%。3.含血管取用。</t>
  </si>
  <si>
    <t>主动脉瘤切除重建费（复杂）-儿童（加收）</t>
  </si>
  <si>
    <t>主动脉瘤切除重建费（复杂）-破裂主动脉瘤（加收）</t>
  </si>
  <si>
    <t>颈动脉（体）瘤切除重建费（常规）</t>
  </si>
  <si>
    <t>通过手术切除颈动脉（体）瘤并进行功能重建。</t>
  </si>
  <si>
    <t>切除后不进行功能重建的减收20%。</t>
  </si>
  <si>
    <t>颈动脉（体）瘤切除重建费（常规）-儿童（加收）</t>
  </si>
  <si>
    <t>颈动脉（体）瘤切除重建费（复杂）</t>
  </si>
  <si>
    <t>通过手术切除复杂情况下的颈动脉（体）瘤并进行功能重建。</t>
  </si>
  <si>
    <t>01破裂颈动脉（体）瘤</t>
  </si>
  <si>
    <t>1.本项目所称的“复杂”指：累及分支开口部位颈动脉瘤、二型三型颈动脉体瘤、感染及假性动脉瘤。2.切除后不进行功能重建的减收20%。</t>
  </si>
  <si>
    <t>颈动脉（体）瘤切除重建费（复杂）-儿童（加收）</t>
  </si>
  <si>
    <t>颈动脉（体）瘤切除重建费（复杂）-破裂颈动脉（体）瘤（加收）</t>
  </si>
  <si>
    <t>动脉瘤切除重建费（常规）</t>
  </si>
  <si>
    <t>通过手术切除动脉瘤并进行功能重建。</t>
  </si>
  <si>
    <t>1.本项目所称的“动脉瘤”不含主动脉瘤和颈动脉（体）瘤。2.切除后不进行功能重建的减收20%。</t>
  </si>
  <si>
    <t>动脉瘤切除重建费（常规）-儿童（加收）</t>
  </si>
  <si>
    <t>动脉瘤切除重建费（复杂）</t>
  </si>
  <si>
    <t>通过手术切除复杂情况下的动脉瘤并进行功能重建。</t>
  </si>
  <si>
    <t>01破裂动脉瘤</t>
  </si>
  <si>
    <t>1.本项目所称的“动脉瘤”不含主动脉瘤和颈动脉（体）瘤。2.本项目所称的“复杂”指：累及分支开口部位动脉瘤、感染及假性动脉瘤。3.切除后不进行功能重建的减收20%。</t>
  </si>
  <si>
    <t>动脉瘤切除重建费（复杂）-儿童（加收）</t>
  </si>
  <si>
    <t>动脉瘤切除重建费（复杂）-破裂动脉瘤（加收）</t>
  </si>
  <si>
    <t>动脉瘤栓塞费</t>
  </si>
  <si>
    <t>通过手术栓塞动脉瘤。</t>
  </si>
  <si>
    <t>所定价格涵盖手术计划、术区准备、消毒、切开、分离、置入栓塞材料、缝合、止血、包扎、处理用物等步骤所需的人力资源和基本物质资源消耗。</t>
  </si>
  <si>
    <t>动脉瘤栓塞费-儿童（加收）</t>
  </si>
  <si>
    <t>大动脉切除重建费</t>
  </si>
  <si>
    <t>通过手术切除大动脉并进行功能重建。</t>
  </si>
  <si>
    <t>1.本项目中的“次”指：两根及以下血管，多于两根血管按20%加收。2.含血管取用。</t>
  </si>
  <si>
    <t>大动脉切除重建费-儿童（加收）</t>
  </si>
  <si>
    <t>头臂动脉切除重建费</t>
  </si>
  <si>
    <t>通过手术切除头臂动脉并进行功能重建。</t>
  </si>
  <si>
    <t>头臂动脉切除重建费-儿童（加收）</t>
  </si>
  <si>
    <t>肢体动脉切除重建费</t>
  </si>
  <si>
    <t>通过手术切除肢体动脉并进行功能重建。</t>
  </si>
  <si>
    <t>肢体动脉切除重建费-儿童（加收）</t>
  </si>
  <si>
    <t>内脏动脉切除重建费</t>
  </si>
  <si>
    <t>通过手术切除内脏动脉并进行功能重建。</t>
  </si>
  <si>
    <t>内脏动脉切除重建费-儿童（加收）</t>
  </si>
  <si>
    <t>大动脉成形费</t>
  </si>
  <si>
    <t>通过手术对大动脉进行成形。</t>
  </si>
  <si>
    <t>所定价格涵盖手术计划、术区准备、消毒、切开、分离、切除、缝合成形、止血、包扎、处理用物，必要时补片修补等步骤所需的人力资源和基本物质资源消耗。</t>
  </si>
  <si>
    <t>本项目中的“次”指：两根及以下血管，多于两根血管按20%加收。</t>
  </si>
  <si>
    <t>大动脉成形费-儿童（加收）</t>
  </si>
  <si>
    <t>头臂动脉成形费</t>
  </si>
  <si>
    <t>通过手术对头臂动脉进行成形。</t>
  </si>
  <si>
    <t>头臂动脉成形费-儿童（加收）</t>
  </si>
  <si>
    <t>肢体动脉成形费</t>
  </si>
  <si>
    <t>通过手术对肢体动脉进行成形。</t>
  </si>
  <si>
    <t>肢体动脉成形费-儿童（加收）</t>
  </si>
  <si>
    <t>内脏动脉成形费</t>
  </si>
  <si>
    <t>通过手术对内脏动脉进行成形。</t>
  </si>
  <si>
    <t>内脏动脉成形费-儿童（加收）</t>
  </si>
  <si>
    <t>大静脉成形费</t>
  </si>
  <si>
    <t>通过手术对大静脉进行成形。</t>
  </si>
  <si>
    <t>大静脉成形费-儿童（加收）</t>
  </si>
  <si>
    <t>头臂静脉成形费</t>
  </si>
  <si>
    <t>通过手术对头臂静脉进行成形。</t>
  </si>
  <si>
    <t>头臂静脉成形费-儿童（加收）</t>
  </si>
  <si>
    <t>肢体静脉成形费</t>
  </si>
  <si>
    <t>通过手术对肢体静脉进行成形。</t>
  </si>
  <si>
    <t>肢体静脉成形费-儿童（加收）</t>
  </si>
  <si>
    <t>内脏静脉成形费</t>
  </si>
  <si>
    <t>通过手术对内脏静脉进行成形。</t>
  </si>
  <si>
    <t>内脏静脉成形费-儿童（加收）</t>
  </si>
  <si>
    <t>大动脉破裂修补费</t>
  </si>
  <si>
    <t>通过手术修补破裂的大动脉。</t>
  </si>
  <si>
    <t>所定价格涵盖手术计划、术区准备、消毒、切开、分离、修补、缝合、止血、包扎、处理用物等步骤所需的人力资源和基本物质资源消耗。</t>
  </si>
  <si>
    <t>大动脉破裂修补费-儿童（加收）</t>
  </si>
  <si>
    <t>头臂动脉破裂修补费</t>
  </si>
  <si>
    <t>通过手术修补破裂的头臂动脉。</t>
  </si>
  <si>
    <t>头臂动脉破裂修补费-儿童（加收）</t>
  </si>
  <si>
    <t>肢体动脉破裂修补费</t>
  </si>
  <si>
    <t>通过手术修补破裂的肢体动脉。</t>
  </si>
  <si>
    <t>肢体动脉破裂修补费-儿童（加收）</t>
  </si>
  <si>
    <t>内脏动脉破裂修补费</t>
  </si>
  <si>
    <t>通过手术修补破裂的内脏动脉。</t>
  </si>
  <si>
    <t>内脏动脉破裂修补费-儿童（加收）</t>
  </si>
  <si>
    <t>大静脉破裂修补费</t>
  </si>
  <si>
    <t>通过手术修补破裂的大静脉。</t>
  </si>
  <si>
    <t>大静脉破裂修补费-儿童（加收）</t>
  </si>
  <si>
    <t>头臂静脉破裂修补费</t>
  </si>
  <si>
    <t>通过手术修补破裂的头臂静脉。</t>
  </si>
  <si>
    <t>头臂静脉破裂修补费-儿童（加收）</t>
  </si>
  <si>
    <t>肢体静脉破裂修补费</t>
  </si>
  <si>
    <t>通过手术修补破裂的肢体静脉。</t>
  </si>
  <si>
    <t>肢体静脉破裂修补费-儿童（加收）</t>
  </si>
  <si>
    <t>内脏静脉破裂修补费</t>
  </si>
  <si>
    <t>通过手术修补破裂的内脏静脉。</t>
  </si>
  <si>
    <t>内脏静脉破裂修补费-儿童（加收）</t>
  </si>
  <si>
    <t>非浅表血管瘤切除费（常规）</t>
  </si>
  <si>
    <t>通过手术切除非浅表血管瘤。</t>
  </si>
  <si>
    <t>浅表血管瘤按体被系统“血管瘤去除费”收取。</t>
  </si>
  <si>
    <t>非浅表血管瘤切除费（常规）-儿童（加收）</t>
  </si>
  <si>
    <t>非浅表血管瘤切除费（复杂）</t>
  </si>
  <si>
    <t>通过手术切除复杂情况下的非浅表血管瘤。</t>
  </si>
  <si>
    <t>1.浅表血管瘤按体被系统“血管瘤去除费”收取。2.本项目所称的“复杂”指：瘤体最大径≥5cm，瘤体累及肌肉、神经干的情况。</t>
  </si>
  <si>
    <t>非浅表血管瘤切除费（复杂）-儿童（加收）</t>
  </si>
  <si>
    <t>下腔静脉/肝静脉阻塞分流费</t>
  </si>
  <si>
    <t>通过分流方式治疗下腔静脉/肝静脉阻塞。</t>
  </si>
  <si>
    <t>所定价格涵盖手术计划、术区准备、消毒、切开、分流、重建、缝合、止血、包扎、处理用物等步骤所需的人力资源和基本物质资源消耗。</t>
  </si>
  <si>
    <t>下腔静脉/肝静脉阻塞分流费-儿童（加收）</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</si>
  <si>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</si>
  <si>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</si>
  <si>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</si>
  <si>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下腔静脉/肝静脉阻塞病变切除费-儿童（加收）</t>
  </si>
  <si>
    <t>静脉切开支架置入费</t>
  </si>
  <si>
    <t>通过手术切开静脉置入支架。</t>
  </si>
  <si>
    <t>静脉切开支架置入费-儿童（加收）</t>
  </si>
  <si>
    <t>动脉旁路移植费（常规）</t>
  </si>
  <si>
    <t>通过手术建立动脉与动脉之间的通道。</t>
  </si>
  <si>
    <t>所定价格涵盖手术计划、术区准备、消毒、切开、分离、吻合重建、缝合、止血、包扎、处理用物等步骤所需的人力资源和基本物质资源消耗。</t>
  </si>
  <si>
    <t>动脉旁路移植费（常规）-儿童（加收）</t>
  </si>
  <si>
    <t>动脉旁路移植费（复杂）</t>
  </si>
  <si>
    <t>通过手术建立复杂情况下的动脉与动脉之间的通道。</t>
  </si>
  <si>
    <t>本项目所称的“复杂”指：两根及以上旁路移植，主动脉旁路移植,膝下三分支动脉旁路移植,自体血管旁路移植。</t>
  </si>
  <si>
    <t>动脉旁路移植费（复杂）-儿童（加收）</t>
  </si>
  <si>
    <t>静脉旁路移植费</t>
  </si>
  <si>
    <t>通过手术建立静脉与静脉之间的通道。</t>
  </si>
  <si>
    <t>静脉旁路移植费-儿童（加收）</t>
  </si>
  <si>
    <t>血管阻断费</t>
  </si>
  <si>
    <t>通过手术永久或临时闭合血管。</t>
  </si>
  <si>
    <t>所定价格涵盖手术计划、术区准备、消毒、切开、分离、切除、缝合、止血、包扎、处理用物等步骤所需的人力资源和基本物质资源消耗。</t>
  </si>
  <si>
    <t>血管阻断费-儿童（加收）</t>
  </si>
  <si>
    <t>曲张静脉缝扎费</t>
  </si>
  <si>
    <t>通过手术对曲张的静脉进行缝扎。</t>
  </si>
  <si>
    <t>所定价格涵盖手术计划、术区准备、消毒、切开、分离、缝扎、缝合、止血、包扎、处理用物等步骤所需的人力资源和基本物质资源消耗。</t>
  </si>
  <si>
    <t>曲张静脉缝扎费-儿童（加收）</t>
  </si>
  <si>
    <t>主动脉消化道瘘修复费</t>
  </si>
  <si>
    <t>通过手术修复主动脉消化道瘘。</t>
  </si>
  <si>
    <t>所定价格涵盖手术计划、术区准备、消毒、切开、分离、修复、缝合、止血、包扎、处理用物等步骤所需的人力资源和基本物质资源消耗。</t>
  </si>
  <si>
    <t>主动脉消化道瘘修复费-儿童（加收）</t>
  </si>
  <si>
    <t>动脉膀胱瘘修复费</t>
  </si>
  <si>
    <t>通过手术修复动脉膀胱瘘。</t>
  </si>
  <si>
    <t>动脉膀胱瘘修复费-儿童（加收）</t>
  </si>
  <si>
    <t>静脉瓣修复费</t>
  </si>
  <si>
    <t>通过手术修复静脉瓣。</t>
  </si>
  <si>
    <t>静脉瓣修复费-儿童（加收）</t>
  </si>
  <si>
    <t>血管切开取异物费</t>
  </si>
  <si>
    <t>通过手术切开血管，取出异物。</t>
  </si>
  <si>
    <t>所定价格涵盖手术计划、术区准备、消毒、切开、游离、阻断、取出异物、缝合止血、包扎、处理用物等步骤所需的人力资源和基本物质资源消耗。</t>
  </si>
  <si>
    <t>血管切开取异物费-儿童（加收）</t>
  </si>
  <si>
    <t>动脉切开取栓费</t>
  </si>
  <si>
    <t>通过手术切开动脉，取出血栓。</t>
  </si>
  <si>
    <t>所定价格涵盖手术计划、术区准备、消毒、切开、游离、阻断、取出血栓、缝合止血、包扎、处理用物等步骤所需的人力资源和基本物质资源消耗。</t>
  </si>
  <si>
    <t>动脉切开取栓费-儿童（加收）</t>
  </si>
  <si>
    <t>静脉切开取栓费</t>
  </si>
  <si>
    <t>通过手术切开静脉，取出血栓。</t>
  </si>
  <si>
    <t>静脉切开取栓费-儿童（加收）</t>
  </si>
  <si>
    <t>动脉栓塞费</t>
  </si>
  <si>
    <t>通过手术置入栓塞材料栓塞动脉。</t>
  </si>
  <si>
    <t>所定价格涵盖手术计划、术区准备、消毒、切开、插管、栓塞、缝合、止血、包扎、处理用物等步骤所需的人力资源和基本物质资源消耗。</t>
  </si>
  <si>
    <t>动脉栓塞费-儿童（加收）</t>
  </si>
  <si>
    <t>静脉栓塞费</t>
  </si>
  <si>
    <t>通过手术置入栓塞材料栓塞静脉。</t>
  </si>
  <si>
    <t>静脉栓塞费-儿童（加收）</t>
  </si>
  <si>
    <t>肢体动脉内膜剥脱费</t>
  </si>
  <si>
    <t>通过手术剥脱病变的肢体动脉内膜。</t>
  </si>
  <si>
    <t>所定价格涵盖手术计划、术区准备、消毒、切开、剥脱、缝合、止血、包扎、处理用物等步骤所需的人力资源和基本物质资源消耗。</t>
  </si>
  <si>
    <t>肢体动脉内膜剥脱费-儿童（加收）</t>
  </si>
  <si>
    <t>大动脉内膜剥脱费</t>
  </si>
  <si>
    <t>通过手术剥脱病变的大动脉内膜。</t>
  </si>
  <si>
    <t>大动脉内膜剥脱费-儿童（加收）</t>
  </si>
  <si>
    <t>内脏动脉内膜剥脱费</t>
  </si>
  <si>
    <t>通过手术剥脱病变的内脏动脉内膜。</t>
  </si>
  <si>
    <t>内脏动脉内膜剥脱费-儿童（加收）</t>
  </si>
  <si>
    <t>弓上动脉内膜剥脱费</t>
  </si>
  <si>
    <t>通过手术剥脱病变的弓上动脉内膜。</t>
  </si>
  <si>
    <t>行颈动脉内膜剥脱的，按神经系统立项指南“颈动脉内/外膜剥脱费”收取。</t>
  </si>
  <si>
    <t>弓上动脉内膜剥脱费-儿童（加收）</t>
  </si>
  <si>
    <t>动脉（瘤）缩缝费</t>
  </si>
  <si>
    <t>通过手术缝合缩窄动脉（瘤）。</t>
  </si>
  <si>
    <t>所定价格涵盖手术计划、术区准备、消毒、切开、缝合、止血、包扎、处理用物等步骤所需的人力资源和基本物质资源消耗。</t>
  </si>
  <si>
    <t>动脉（瘤）缩缝费-儿童（加收）</t>
  </si>
  <si>
    <t>静脉（瘤）缩缝费</t>
  </si>
  <si>
    <t>通过手术缝合缩窄静脉（瘤）。</t>
  </si>
  <si>
    <t>静脉（瘤）缩缝费-儿童（加收）</t>
  </si>
  <si>
    <t>动静脉转流费</t>
  </si>
  <si>
    <t>通过手术吻合动脉和静脉，改变血液循环路径。</t>
  </si>
  <si>
    <t>所定价格涵盖手术计划、术区准备、消毒、切开、吻合、缝合、止血、包扎、处理用物等步骤所需的人力资源和基本物质资源消耗。</t>
  </si>
  <si>
    <t>动静脉转流费-儿童（加收）</t>
  </si>
  <si>
    <t>动静脉瘘切除费</t>
  </si>
  <si>
    <t>通过手术切除自身或人工血管的动静脉瘘。</t>
  </si>
  <si>
    <t>所定价格涵盖手术计划、术区准备、消毒、切开、切除、缝合、止血、包扎、处理用物等步骤所需的人力资源和基本物质资源消耗。</t>
  </si>
  <si>
    <t>动静脉瘘切除费-儿童（加收）</t>
  </si>
  <si>
    <t>主动脉腔静脉瘘修复费</t>
  </si>
  <si>
    <t>通过手术修复主动脉腔静脉之间的异常通道。</t>
  </si>
  <si>
    <t>所定价格涵盖手术计划、术区准备、消毒、切开、修复、缝合、止血、包扎、处理用物等步骤所需的人力资源和基本物质资源消耗。</t>
  </si>
  <si>
    <t>主动脉腔静脉瘘修复费-儿童（加收）</t>
  </si>
  <si>
    <t>静脉结扎剥脱费</t>
  </si>
  <si>
    <t>通过手术结扎剥脱静脉。</t>
  </si>
  <si>
    <t>所定价格涵盖手术计划、术区准备、消毒、切开、结扎、剥脱、缝合、止血、包扎、处理用物等步骤所需的人力资源和基本物质资源消耗。</t>
  </si>
  <si>
    <t>静脉结扎剥脱费-儿童（加收）</t>
  </si>
  <si>
    <t>自体血管取材费</t>
  </si>
  <si>
    <t>通过手术切取自体血管并进行制备，供后续使用。</t>
  </si>
  <si>
    <t>所定价格涵盖手术计划、术区准备、消毒、切开、切取、制备、缝合、止血、包扎、处理用物等步骤所需的人力资源和基本物质资源消耗。</t>
  </si>
  <si>
    <t>自体血管取材费-儿童（加收）</t>
  </si>
  <si>
    <t>大网膜游离移植费</t>
  </si>
  <si>
    <t>通过手术切取自体大网膜，移植到身体的其他部位。</t>
  </si>
  <si>
    <t>所定价格涵盖手术计划、术区准备、消毒、切开、切取、移植、缝合、止血、包扎、处理用物等步骤所需的人力资源和基本物质资源消耗。</t>
  </si>
  <si>
    <t>大网膜游离移植费-儿童（加收）</t>
  </si>
  <si>
    <t>静脉肌襻成形费</t>
  </si>
  <si>
    <t>通过手术构建肌襻模拟静脉瓣膜。</t>
  </si>
  <si>
    <t>所定价格涵盖手术计划、术区准备、消毒、切开、游离腘静脉、游离肌襻、包绕静脉、缝合、止血、包扎、处理用物等步骤所需的人力资源和基本物质资源消耗。</t>
  </si>
  <si>
    <t>静脉肌襻成形费-儿童（加收）</t>
  </si>
  <si>
    <t>血管松解费</t>
  </si>
  <si>
    <t>通过手术松解血管。</t>
  </si>
  <si>
    <t>所定价格涵盖手术计划、术区准备、消毒、切开、松解、缝合、止血、包扎、处理用物等步骤所需的人力资源和基本物质资源消耗。</t>
  </si>
  <si>
    <t>不与同血管其他相关手术同时收费。</t>
  </si>
  <si>
    <t>血管松解费-儿童（加收）</t>
  </si>
  <si>
    <t>血管保护装置置入费</t>
  </si>
  <si>
    <t>通过手术置入各类血管保护装置。</t>
  </si>
  <si>
    <t>所定价格涵盖手术计划、术区准备、定位、消毒、切开、置入、缝合、包扎、处理用物等步骤所需的人力资源和基本物质资源消耗。</t>
  </si>
  <si>
    <t>血管保护装置置入费-儿童（加收）</t>
  </si>
  <si>
    <t>血管保护装置取出费</t>
  </si>
  <si>
    <t>通过手术切开取出各类血管保护装置。</t>
  </si>
  <si>
    <t>所定价格涵盖手术计划、术区准备、定位、消毒、切开、取出、缝合、包扎、处理用物等步骤所需的人力资源和基本物质资源消耗。</t>
  </si>
  <si>
    <t>血管保护装置取出费-儿童（加收）</t>
  </si>
  <si>
    <t>肢体血管药物封闭费</t>
  </si>
  <si>
    <t>通过穿刺将药物注入曲张血管进行治疗。</t>
  </si>
  <si>
    <t>所定价格涵盖准备、消毒、穿刺、注入药物、处理用物等步骤所需的人力资源和基本物质资源消耗。</t>
  </si>
  <si>
    <t>淋巴管瘤切除费（常规）</t>
  </si>
  <si>
    <t>通过手术切除淋巴管瘤。</t>
  </si>
  <si>
    <t>所定价格涵盖手术计划、术区准备、消毒、切开、分离、切除、吻合、处理用物等步骤所需的人力资源和基本物质资源消耗。</t>
  </si>
  <si>
    <t>淋巴管瘤切除费（常规）-儿童（加收）</t>
  </si>
  <si>
    <t>淋巴管瘤切除费（复杂）</t>
  </si>
  <si>
    <t>通过手术切除复杂淋巴管瘤。</t>
  </si>
  <si>
    <t>本项目所称的“复杂”指：直径≥5厘米，瘤体包绕腹主动脉、下腔静脉、颈部腋窝血管神经束。</t>
  </si>
  <si>
    <t>淋巴管瘤切除费（复杂）-儿童（加收）</t>
  </si>
  <si>
    <t>周围淋巴管移植费</t>
  </si>
  <si>
    <t>通过手术移植周围淋巴管。</t>
  </si>
  <si>
    <t>所定价格涵盖手术计划、术区准备、消毒、切开、分离、移植、处理用物等步骤所需的人力资源和基本物质资源消耗。</t>
  </si>
  <si>
    <t>周围淋巴管移植费-儿童（加收）</t>
  </si>
  <si>
    <t>胸导管结扎费</t>
  </si>
  <si>
    <t>通过手术结扎胸导管。</t>
  </si>
  <si>
    <t>所定价格涵盖手术计划、术区准备、消毒、切开、分离、结扎、处理用物等步骤所需的人力资源和基本物质资源消耗。</t>
  </si>
  <si>
    <t>胸导管结扎费-儿童（加收）</t>
  </si>
  <si>
    <t>胸导管狭窄成形费</t>
  </si>
  <si>
    <t>通过手术对狭窄胸导管进行修复。</t>
  </si>
  <si>
    <t>所定价格涵盖手术计划、术区准备、消毒、切开、分离、修复成形、处理用物等步骤所需的人力资源和基本物质资源消耗。</t>
  </si>
  <si>
    <t>胸导管狭窄成形费-儿童（加收）</t>
  </si>
  <si>
    <t>淋巴管静脉吻合费（常规）</t>
  </si>
  <si>
    <t>通过手术将淋巴管与静脉进行吻合，以构建淋巴-静脉侧支循环。</t>
  </si>
  <si>
    <t>所定价格涵盖手术计划、术区准备、消毒、分离、切开、吻合、处理用物等步骤所需的人力资源和基本物质资源消耗。</t>
  </si>
  <si>
    <t>第三血管及以上均按照20%计收。</t>
  </si>
  <si>
    <t>淋巴管静脉吻合费（常规）-儿童（加收）</t>
  </si>
  <si>
    <t>淋巴管静脉吻合费（复杂）</t>
  </si>
  <si>
    <t>通过手术将复杂部位的淋巴管与静脉进行吻合，以构建淋巴-静脉侧支循环。</t>
  </si>
  <si>
    <t>1.本项目所称的“复杂”指：吻合部位位于颈部/腋窝/肱动静脉周围/纵隔/腹膜后/腹股沟区。2.第三血管及以上均按照20%计收。</t>
  </si>
  <si>
    <t>淋巴管静脉吻合费（复杂）-儿童（加收）</t>
  </si>
  <si>
    <t xml:space="preserve">       上述项目合计1043项，11月1号开始执行。</t>
  </si>
  <si>
    <t>崇州市人民医院</t>
  </si>
  <si>
    <t>2026.10.28</t>
  </si>
  <si>
    <t>SYWS</t>
  </si>
  <si>
    <t>（省院外送）</t>
  </si>
  <si>
    <t>网织红细胞计数（Ret）</t>
  </si>
  <si>
    <t>嗜碱性点彩红细胞计数</t>
  </si>
  <si>
    <t>异常红细胞形态检查</t>
  </si>
  <si>
    <t>红细胞沉降率测定（ESR）</t>
  </si>
  <si>
    <t>有核红细胞计数</t>
  </si>
  <si>
    <t>尿蛋白定量</t>
  </si>
  <si>
    <t>葡萄糖6-磷酸脱氢酶活性检测</t>
  </si>
  <si>
    <t>血浆凝血酶原时间测定（PT）</t>
  </si>
  <si>
    <t>活化部分凝血活酶时间测定（APTT）</t>
  </si>
  <si>
    <t>血浆纤维蛋白原测定</t>
  </si>
  <si>
    <t>凝血酶时间测定（TT）</t>
  </si>
  <si>
    <t>血浆抗凝血酶Ⅲ活性测定（AT—ⅢA）</t>
  </si>
  <si>
    <t>纤维蛋白（原）降解产物测定（FDP）</t>
  </si>
  <si>
    <t>血浆D-二聚体测定（D-Dimer）</t>
  </si>
  <si>
    <t>血清总蛋白测定</t>
  </si>
  <si>
    <t>血清白蛋白测定</t>
  </si>
  <si>
    <t>免疫固定电泳</t>
  </si>
  <si>
    <t>脑脊液白蛋白测定</t>
  </si>
  <si>
    <t>超敏C反应蛋白测定</t>
  </si>
  <si>
    <t>葡萄糖测定</t>
  </si>
  <si>
    <t>糖化血红蛋白测定</t>
  </si>
  <si>
    <t>多种代谢疾病检测</t>
  </si>
  <si>
    <t>血清总胆固醇测定</t>
  </si>
  <si>
    <t>血清甘油三酯测定</t>
  </si>
  <si>
    <t>血清高密度脂蛋白胆固醇测定</t>
  </si>
  <si>
    <t>血清低密度脂蛋白胆固醇测定</t>
  </si>
  <si>
    <t>血清载脂蛋白AⅠ测定</t>
  </si>
  <si>
    <t>血清载脂蛋白B测定</t>
  </si>
  <si>
    <t>钾测定</t>
  </si>
  <si>
    <t>钠测定</t>
  </si>
  <si>
    <t>氯测定</t>
  </si>
  <si>
    <t>血清总铁结合力测定</t>
  </si>
  <si>
    <t>血清总胆红素测定</t>
  </si>
  <si>
    <t>血清直接胆红素测定</t>
  </si>
  <si>
    <t>血清总胆汁酸测定</t>
  </si>
  <si>
    <t>血清丙氨酸氨基转移酶测定</t>
  </si>
  <si>
    <t>血清天门冬氨酸氨基转移酶测定</t>
  </si>
  <si>
    <t>血清γ-谷氨酰基转移酶测定</t>
  </si>
  <si>
    <t>血清碱性磷酸酶测定</t>
  </si>
  <si>
    <t>血清骨型碱性磷酸酶质量测定</t>
  </si>
  <si>
    <t>血清胆碱脂酶测定</t>
  </si>
  <si>
    <t>血清5′核苷酸酶测定</t>
  </si>
  <si>
    <t>腺苷脱氨酶测定</t>
  </si>
  <si>
    <t>血清肌酸激酶-MB同工酶质量测定</t>
  </si>
  <si>
    <t>乳酸脱氢酶测定</t>
  </si>
  <si>
    <t>血清α羟基丁酸脱氢酶测定</t>
  </si>
  <si>
    <t>血清肌钙蛋白T测定</t>
  </si>
  <si>
    <t>血清肌红蛋白测定</t>
  </si>
  <si>
    <t>B型钠尿肽（BNP）测定</t>
  </si>
  <si>
    <t>B型钠尿肽前体（PRO-BNP）测定</t>
  </si>
  <si>
    <t>尿素测定</t>
  </si>
  <si>
    <t>肌酐测定</t>
  </si>
  <si>
    <t>血清尿酸测定</t>
  </si>
  <si>
    <t>尿微量白蛋白测定</t>
  </si>
  <si>
    <t>尿转铁蛋白测定</t>
  </si>
  <si>
    <t>尿N-酰-β-D-氨基葡萄糖苷酶测定</t>
  </si>
  <si>
    <t>血清胱抑素（CystatinC）测定</t>
  </si>
  <si>
    <t>叶酸测定</t>
  </si>
  <si>
    <t>血清促甲状腺激素测定</t>
  </si>
  <si>
    <t>血清泌乳素测定</t>
  </si>
  <si>
    <t>血清促卵泡刺激素测定</t>
  </si>
  <si>
    <t>血清促肾上腺皮质激素测定</t>
  </si>
  <si>
    <t>甲状旁腺激素测定</t>
  </si>
  <si>
    <t>血清甲状腺素（T4）测定</t>
  </si>
  <si>
    <t>血清三碘甲状原氨酸（T3）测定</t>
  </si>
  <si>
    <t>血清游离甲状腺素（FT4）测定</t>
  </si>
  <si>
    <t>血清游离三碘甲状原氨酸（FT3）测定</t>
  </si>
  <si>
    <t>血浆皮质醇测定</t>
  </si>
  <si>
    <t>醛固酮测定</t>
  </si>
  <si>
    <t>尿儿茶酚胺测定</t>
  </si>
  <si>
    <t>血浆肾素活性测定</t>
  </si>
  <si>
    <t>睾酮测定</t>
  </si>
  <si>
    <t>血清双氢睾酮测定</t>
  </si>
  <si>
    <t>雄烯二酮测定</t>
  </si>
  <si>
    <t>17α羟孕酮测定</t>
  </si>
  <si>
    <t>雌酮测定</t>
  </si>
  <si>
    <t>雌三醇测定</t>
  </si>
  <si>
    <t>雌二醇测定</t>
  </si>
  <si>
    <t>孕酮测定</t>
  </si>
  <si>
    <t>血清人绒毛膜促性腺激素测定</t>
  </si>
  <si>
    <t>血清胰岛素测定</t>
  </si>
  <si>
    <t>血清C肽测定</t>
  </si>
  <si>
    <t>血清抗谷氨酸脱羧酶抗体测定</t>
  </si>
  <si>
    <t>降钙素原检测</t>
  </si>
  <si>
    <t>5羟色胺测定</t>
  </si>
  <si>
    <t>胃泌素17（G-17）测定</t>
  </si>
  <si>
    <t>各种白介素测定</t>
  </si>
  <si>
    <t>C-反应蛋白测定（CRP）</t>
  </si>
  <si>
    <t>抗核糖体抗体测定</t>
  </si>
  <si>
    <t>抗甲状腺球蛋白抗体测定(TGAb)</t>
  </si>
  <si>
    <t>抗肾小球基底膜抗体测定</t>
  </si>
  <si>
    <t>抗胰岛素抗体测定</t>
  </si>
  <si>
    <t>抗内因子抗体测定</t>
  </si>
  <si>
    <t>类风湿因子（RF）测定</t>
  </si>
  <si>
    <t>抗环瓜氨酸肽抗体（抗CCP抗体）测定</t>
  </si>
  <si>
    <t>抗RA33抗体测定</t>
  </si>
  <si>
    <t>甲型肝炎抗体测定（Anti-HAV）</t>
  </si>
  <si>
    <t>乙型肝炎DNA测定</t>
  </si>
  <si>
    <t>乙型肝炎表面抗原测定(HBsAg)</t>
  </si>
  <si>
    <t>乙型肝炎表面抗体测定(Anti-HBs)</t>
  </si>
  <si>
    <t>乙型肝炎e抗原测定（HBeAg）</t>
  </si>
  <si>
    <t>乙型肝炎e抗体测定（Anti-HBe）</t>
  </si>
  <si>
    <t>乙型肝炎核心抗体测定（Anti-HBc）</t>
  </si>
  <si>
    <t>乙型肝炎核心IgM抗体测定（Anti-HBcIgM）</t>
  </si>
  <si>
    <t>丙型肝炎抗体测定（Anti-HCV）</t>
  </si>
  <si>
    <t>人免疫缺陷病毒抗体测定（Anti-HIV）</t>
  </si>
  <si>
    <t>巨细胞病毒抗体测定</t>
  </si>
  <si>
    <t>EB病毒抗体测定</t>
  </si>
  <si>
    <t>抗链球菌溶血素O测定（ASO）</t>
  </si>
  <si>
    <t>不加热血清反应素试验</t>
  </si>
  <si>
    <t>人乳头瘤病毒（HPV）核酸检测</t>
  </si>
  <si>
    <t>肺炎衣原体抗体检测</t>
  </si>
  <si>
    <t>丙型肝炎核心抗原测定</t>
  </si>
  <si>
    <t>弓形虫IgG亲和力检测</t>
  </si>
  <si>
    <t>EB病毒Rta蛋白抗体检测</t>
  </si>
  <si>
    <t>巨细胞病毒IgG亲和力检测</t>
  </si>
  <si>
    <t>癌胚抗原测定（CEA）</t>
  </si>
  <si>
    <t>甲胎蛋白测定（AFP）</t>
  </si>
  <si>
    <t>总前列腺特异性抗原测定（TPSA）</t>
  </si>
  <si>
    <t>游离前列腺特异性抗原测定（FPSA）</t>
  </si>
  <si>
    <t>神经元特异性烯醇化酶测定（NSE）</t>
  </si>
  <si>
    <t>细胞角蛋白19片段测定（CYFRA21-1）</t>
  </si>
  <si>
    <t>糖类抗原测定</t>
  </si>
  <si>
    <t>鳞状细胞癌相关抗原测定（SCC）</t>
  </si>
  <si>
    <t>铁蛋白测定</t>
  </si>
  <si>
    <t>尿核基质蛋白（NMP22）测定</t>
  </si>
  <si>
    <t>胃蛋白酶原定量检测</t>
  </si>
  <si>
    <t>吸入物变应原筛查</t>
  </si>
  <si>
    <t>食入物变应原筛查</t>
  </si>
  <si>
    <t>其它病毒的血清学诊断</t>
  </si>
  <si>
    <t>乙型肝炎病毒基因YMDD变异测定</t>
  </si>
  <si>
    <t>内毒素鲎定量</t>
  </si>
  <si>
    <t>高精度病毒载量分析</t>
  </si>
  <si>
    <t>性激素结合球蛋白（SHBG）测定</t>
  </si>
  <si>
    <t>总Ⅰ型胶原氨基端延长肽（Total-P1NP）测定</t>
  </si>
  <si>
    <t>微小核糖核酸(microRNA)检测</t>
  </si>
  <si>
    <t>外周血细胞染色体检查</t>
  </si>
  <si>
    <t>性别基因（SRY）检测</t>
  </si>
  <si>
    <t>染色体分析</t>
  </si>
  <si>
    <t>培养细胞的染色体分析</t>
  </si>
  <si>
    <t>α-地中海贫血基因检测</t>
  </si>
  <si>
    <t>β-地中海贫血基因检测</t>
  </si>
  <si>
    <t>人组织相容性抗原II类（HLA-II）分型</t>
  </si>
  <si>
    <t>骨髓细胞彩色图象分析</t>
  </si>
  <si>
    <t>250101005-2</t>
  </si>
  <si>
    <t>网织红细胞计数（Ret）（流式细胞仪法加收）</t>
  </si>
  <si>
    <t>250101008-1</t>
  </si>
  <si>
    <t>红细胞沉降率测定（ESR）（仪器法加收）</t>
  </si>
  <si>
    <t>250101022-1</t>
  </si>
  <si>
    <t>异常血小板形态检查（手工法）</t>
  </si>
  <si>
    <t>250203020-1</t>
  </si>
  <si>
    <t>血浆凝血酶原时间测定（PT）（仪器法加收）</t>
  </si>
  <si>
    <t>250203025-1</t>
  </si>
  <si>
    <t>活化部分凝血活酶时间测定（APTT）（仪器法加收）</t>
  </si>
  <si>
    <t>250203030-1</t>
  </si>
  <si>
    <t>血浆纤维蛋白原测定（仪器法加收）</t>
  </si>
  <si>
    <t>250203031-1</t>
  </si>
  <si>
    <t>血浆凝血因子活性测定（仪器法加收）</t>
  </si>
  <si>
    <t>250203031-10</t>
  </si>
  <si>
    <t>血浆凝血因子活性测定（血浆凝血因子(ⅩⅢ)活性测定）</t>
  </si>
  <si>
    <t>250203031-2</t>
  </si>
  <si>
    <t>血浆凝血因子活性测定（血浆凝血因子(Ⅱ)活性测定）</t>
  </si>
  <si>
    <t>250203031-3</t>
  </si>
  <si>
    <t>血浆凝血因子活性测定（血浆凝血因子(Ⅴ)活性测定）</t>
  </si>
  <si>
    <t>250203031-4</t>
  </si>
  <si>
    <t>血浆凝血因子活性测定（血浆凝血因子(Ⅶ)活性测定）</t>
  </si>
  <si>
    <t>250203031-5</t>
  </si>
  <si>
    <t>血浆凝血因子活性测定（血浆凝血因子(Ⅷ)活性测定）</t>
  </si>
  <si>
    <t>250203031-6</t>
  </si>
  <si>
    <t>血浆凝血因子活性测定（血浆凝血因子(Ⅸ)活性测定）</t>
  </si>
  <si>
    <t>250203031-7</t>
  </si>
  <si>
    <t>血浆凝血因子活性测定（血浆凝血因子(Ⅹ)活性测定）</t>
  </si>
  <si>
    <t>250203031-8</t>
  </si>
  <si>
    <t>血浆凝血因子活性测定（血浆凝血因子(Ⅺ)活性测定）</t>
  </si>
  <si>
    <t>250203031-9</t>
  </si>
  <si>
    <t>血浆凝血因子活性测定（血浆凝血因子(Ⅻ)活性测定）</t>
  </si>
  <si>
    <t>250203035-1</t>
  </si>
  <si>
    <t>凝血酶时间测定（TT）（仪器法加收）</t>
  </si>
  <si>
    <t>250203047-1</t>
  </si>
  <si>
    <t>血浆抗凝血酶Ⅲ活性测定（AT—ⅢA）（仪器法加收）</t>
  </si>
  <si>
    <t>250301006-1</t>
  </si>
  <si>
    <t>血清前白蛋白测定（免疫比浊法）</t>
  </si>
  <si>
    <t>250301007-1</t>
  </si>
  <si>
    <t>转铁蛋白测定（血清标本）</t>
  </si>
  <si>
    <t>250301014-2</t>
  </si>
  <si>
    <t>β2微球蛋白测定(血清标本)</t>
  </si>
  <si>
    <t>250306001-2</t>
  </si>
  <si>
    <t>血清肌酸激酶测定(速率法)</t>
  </si>
  <si>
    <t>250306002-2</t>
  </si>
  <si>
    <t>血清肌酸激酶-MB同工酶活性测定(速率法)</t>
  </si>
  <si>
    <t>250306010-1</t>
  </si>
  <si>
    <t>血清肌红蛋白测定(化学发光法加收)</t>
  </si>
  <si>
    <t>250306011-1</t>
  </si>
  <si>
    <t>血同型半胱氨酸测定(各种免疫学方法)</t>
  </si>
  <si>
    <t>250307029-2</t>
  </si>
  <si>
    <t>α1—微球蛋白测定（尿标本速率散射比浊法）</t>
  </si>
  <si>
    <t>250309001-1</t>
  </si>
  <si>
    <t>25羟维生素D测定（化学发光法加收）</t>
  </si>
  <si>
    <t>250309003-1</t>
  </si>
  <si>
    <t>叶酸测定(化学发光法加收)</t>
  </si>
  <si>
    <t>250309004-1</t>
  </si>
  <si>
    <t>血清维生素测定(化学发光法加收)</t>
  </si>
  <si>
    <t>250310001-1</t>
  </si>
  <si>
    <t>血清促甲状腺激素测定(化学发光法加收)</t>
  </si>
  <si>
    <t>250310002-1</t>
  </si>
  <si>
    <t>血清泌乳素测定(化学发光法加收)</t>
  </si>
  <si>
    <t>250310004-1</t>
  </si>
  <si>
    <t>血清促卵泡刺激素测定(化学发光法加收)</t>
  </si>
  <si>
    <t>250310006-1</t>
  </si>
  <si>
    <t>血清促肾上腺皮质激素测定(化学发光法加收)</t>
  </si>
  <si>
    <t>250310009-1</t>
  </si>
  <si>
    <t>甲状旁腺激素测定(化学发光法加收)</t>
  </si>
  <si>
    <t>250310010-1</t>
  </si>
  <si>
    <t>血清甲状腺素（T4）测定(化学发光法加收)</t>
  </si>
  <si>
    <t>250310011-1</t>
  </si>
  <si>
    <t>血清三碘甲状原氨酸（T3）测定(化学发光法加收)</t>
  </si>
  <si>
    <t>250310013-1</t>
  </si>
  <si>
    <t>血清游离甲状腺素（FT4）测定(化学发光法加收)</t>
  </si>
  <si>
    <t>250310014-1</t>
  </si>
  <si>
    <t>血清游离三碘甲状原氨酸（FT3）测定(化学发光法加收)</t>
  </si>
  <si>
    <t>250310018-1</t>
  </si>
  <si>
    <t>血浆皮质醇测定（化学发光法加收）</t>
  </si>
  <si>
    <t>250310023-1</t>
  </si>
  <si>
    <t>醛固酮测定（化学发光法加收）</t>
  </si>
  <si>
    <t>250310026-1</t>
  </si>
  <si>
    <t>血浆肾素活性测定（化学发光法加收）</t>
  </si>
  <si>
    <t>250310030-1</t>
  </si>
  <si>
    <t>睾酮测定（化学发光法加收）</t>
  </si>
  <si>
    <t>250310036-1</t>
  </si>
  <si>
    <t>雌二醇测定（化学发光法加收）</t>
  </si>
  <si>
    <t>250310037-1</t>
  </si>
  <si>
    <t>孕酮测定（化学发光法加收）</t>
  </si>
  <si>
    <t>250310038-1</t>
  </si>
  <si>
    <t>血清人绒毛膜促性腺激素测定（化学发光法加收）</t>
  </si>
  <si>
    <t>250310039-1</t>
  </si>
  <si>
    <t>血清胰岛素测定（化学发光法加收）</t>
  </si>
  <si>
    <t>250310041-1</t>
  </si>
  <si>
    <t>血清C肽测定（化学发光法加收）</t>
  </si>
  <si>
    <t>250401020-6</t>
  </si>
  <si>
    <t>单项补体测定（C3）</t>
  </si>
  <si>
    <t>250401020-7</t>
  </si>
  <si>
    <t>单项补体测定（C4）</t>
  </si>
  <si>
    <t>250401023-2</t>
  </si>
  <si>
    <t>免疫球蛋白定量测定（IgA）</t>
  </si>
  <si>
    <t>250401023-3</t>
  </si>
  <si>
    <t>免疫球蛋白定量测定（IgG）</t>
  </si>
  <si>
    <t>250401023-4</t>
  </si>
  <si>
    <t>免疫球蛋白定量测定（IgM）</t>
  </si>
  <si>
    <t>250403014-1</t>
  </si>
  <si>
    <t>丙型肝炎抗体测定（Anti-HCV）(化学发光法加收)</t>
  </si>
  <si>
    <t>250402003-2</t>
  </si>
  <si>
    <t>抗核提取物抗体测定(抗ENA抗体)（抗SSA）</t>
  </si>
  <si>
    <t>250402003-3</t>
  </si>
  <si>
    <t>抗核提取物抗体测定(抗ENA抗体)（抗SSB）</t>
  </si>
  <si>
    <t>250402003-4</t>
  </si>
  <si>
    <t>抗核提取物抗体测定(抗ENA抗体)（抗JO-1）</t>
  </si>
  <si>
    <t>250402003-5</t>
  </si>
  <si>
    <t>抗核提取物抗体测定(抗ENA抗体)（抗Sm）</t>
  </si>
  <si>
    <t>250402003-6</t>
  </si>
  <si>
    <t>抗核提取物抗体测定(抗ENA抗体)（抗nRNP）</t>
  </si>
  <si>
    <t>250402003-7</t>
  </si>
  <si>
    <t>抗核提取物抗体测定(抗ENA抗体)（抗ScL-70）</t>
  </si>
  <si>
    <t>250402003-8</t>
  </si>
  <si>
    <t>抗核提取物抗体测定(抗ENA抗体)（抗着丝点抗体）</t>
  </si>
  <si>
    <t>250402005-1</t>
  </si>
  <si>
    <t>抗中性粒细胞胞浆抗体测定（ANCA）(cANCA)</t>
  </si>
  <si>
    <t>250402005-2</t>
  </si>
  <si>
    <t>抗中性粒细胞胞浆抗体测定（ANCA）(pANCA)</t>
  </si>
  <si>
    <t>250402005-3</t>
  </si>
  <si>
    <t>抗中性粒细胞胞浆抗体测定（ANCA）(PR3-ANCA)</t>
  </si>
  <si>
    <t>250402005-4</t>
  </si>
  <si>
    <t>抗中性粒细胞胞浆抗体测定（ANCA）(MPO-ANCA)</t>
  </si>
  <si>
    <t>250402014-2</t>
  </si>
  <si>
    <t>抗组织细胞抗体测定（胃壁细胞抗体）</t>
  </si>
  <si>
    <t>250402014-3</t>
  </si>
  <si>
    <t>抗组织细胞抗体测定（胰岛细胞抗体）</t>
  </si>
  <si>
    <t>250402014-6</t>
  </si>
  <si>
    <t>抗组织细胞抗体测定（平滑肌抗体）</t>
  </si>
  <si>
    <t>250402016-1</t>
  </si>
  <si>
    <t>抗心磷脂抗体测定(ACA)（IgA）</t>
  </si>
  <si>
    <t>250402016-2</t>
  </si>
  <si>
    <t>抗心磷脂抗体测定(ACA)（IgM）</t>
  </si>
  <si>
    <t>250402016-3</t>
  </si>
  <si>
    <t>抗心磷脂抗体测定(ACA)（IgG）</t>
  </si>
  <si>
    <t>250402017-2</t>
  </si>
  <si>
    <t>抗甲状腺球蛋白抗体测定(TGAb)（化学发光法加收）</t>
  </si>
  <si>
    <t>250402019-1</t>
  </si>
  <si>
    <t>抗肾小球基底膜抗体测定(各种免疫学方法加收)</t>
  </si>
  <si>
    <t>250403004-1</t>
  </si>
  <si>
    <t>乙型肝炎表面抗原测定(HBsAg)(定量分析加收)</t>
  </si>
  <si>
    <t>250403005-1</t>
  </si>
  <si>
    <t>乙型肝炎表面抗体测定（Anti-HBs）（定量分析加收）</t>
  </si>
  <si>
    <t>250403017-1</t>
  </si>
  <si>
    <t>戊型肝炎抗体测定（Anti-HEV）(各种免疫学方法)</t>
  </si>
  <si>
    <t>250403019-3</t>
  </si>
  <si>
    <t>人免疫缺陷病毒抗体测定（Anti-HIV）（化学发光法加收)</t>
  </si>
  <si>
    <t>250403020-1</t>
  </si>
  <si>
    <t>弓形体抗体测定(各种免疫学方法)</t>
  </si>
  <si>
    <t>250403021-1</t>
  </si>
  <si>
    <t>风疹病毒抗体测定(各种免疫学方法)</t>
  </si>
  <si>
    <t>250403023-1</t>
  </si>
  <si>
    <t>单纯疱疹病毒抗体测定(各种免疫学方法)</t>
  </si>
  <si>
    <t>250403025-1</t>
  </si>
  <si>
    <t>EB病毒抗体测定(各种免疫学方法)</t>
  </si>
  <si>
    <t>250403025-4</t>
  </si>
  <si>
    <t>EB病毒抗体测定(IgA)</t>
  </si>
  <si>
    <t>250403042-2</t>
  </si>
  <si>
    <t>细菌抗体测定（结核杆菌）</t>
  </si>
  <si>
    <t>250403042-5</t>
  </si>
  <si>
    <t>细菌抗体测定（军团菌）</t>
  </si>
  <si>
    <t>250403053-3</t>
  </si>
  <si>
    <t>梅毒螺旋体特异抗体测定（化学发光法加收）</t>
  </si>
  <si>
    <t>250404001-1</t>
  </si>
  <si>
    <t>癌胚抗原测定（CEA）（化学发光法加收）</t>
  </si>
  <si>
    <t>250404002-1</t>
  </si>
  <si>
    <t>甲胎蛋白测定（AFP）（化学发光法加收）</t>
  </si>
  <si>
    <t>250404005-1</t>
  </si>
  <si>
    <t>总前列腺特异性抗原测定（TPSA）（化学发光法加收）</t>
  </si>
  <si>
    <t>250404006-1</t>
  </si>
  <si>
    <t>游离前列腺特异性抗原测定（FPSA）（化学发光法加收）</t>
  </si>
  <si>
    <t>250404009-1</t>
  </si>
  <si>
    <t>神经元特异性烯醇化酶测定（NSE）（化学发光法加收）</t>
  </si>
  <si>
    <t>250404010-1</t>
  </si>
  <si>
    <t>细胞角蛋白19片段测定（CYFRA21-1）（化学发光法加收）</t>
  </si>
  <si>
    <t>250404011-1</t>
  </si>
  <si>
    <t>糖类抗原测定（化学发光法加收）</t>
  </si>
  <si>
    <t>250404012-1</t>
  </si>
  <si>
    <t>鳞状细胞癌相关抗原测定（SCC）（化学发光法加收）</t>
  </si>
  <si>
    <t>250503013-1</t>
  </si>
  <si>
    <t>高精度病毒载量分析（HIV（要求实际灵敏度达到20copies/mL）加收）</t>
  </si>
  <si>
    <t>250700010-1</t>
  </si>
  <si>
    <t>唐氏综合症筛查（同时查神经管缺陷加收）</t>
  </si>
  <si>
    <t>250700010-2</t>
  </si>
  <si>
    <t>唐氏综合症筛查（查18—3体综合症加收）</t>
  </si>
  <si>
    <t>250700014-3</t>
  </si>
  <si>
    <t>羊水、绒毛细胞培养（外周血细胞培养）</t>
  </si>
  <si>
    <t>260000023-1</t>
  </si>
  <si>
    <t>人组织相容性抗原II类（HLA-II）分型(基因配型加收)</t>
  </si>
  <si>
    <t>CEBB1000</t>
  </si>
  <si>
    <t>糖化白蛋白（GA）测定</t>
  </si>
  <si>
    <t>CGQI1000</t>
  </si>
  <si>
    <t>结核感染T细胞γ干扰素释放实验（TB-IGRA）</t>
  </si>
  <si>
    <t>CGSE1000</t>
  </si>
  <si>
    <t>人附睾分泌蛋白（HE4）测定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</si>
</sst>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000000000000"/>
  </numFmts>
  <fonts count="52">
    <font>
      <sz val="11"/>
      <color rgb="FF000000"/>
      <name val="宋体"/>
      <charset val="134"/>
    </font>
    <font>
      <sz val="14"/>
      <name val="宋体"/>
      <charset val="134"/>
    </font>
    <font>
      <b/>
      <sz val="18"/>
      <name val="宋体"/>
      <charset val="134"/>
    </font>
    <font>
      <b/>
      <sz val="10"/>
      <name val="等线"/>
      <charset val="134"/>
    </font>
    <font>
      <sz val="9"/>
      <color rgb="FF000000"/>
      <name val="SimSun"/>
      <charset val="134"/>
    </font>
    <font>
      <sz val="10"/>
      <color rgb="FF000000"/>
      <name val="宋体"/>
      <charset val="134"/>
    </font>
    <font>
      <sz val="11"/>
      <color rgb="FF000000"/>
      <name val="SimSun"/>
      <charset val="134"/>
    </font>
    <font>
      <sz val="9"/>
      <name val="SimSun"/>
      <charset val="134"/>
    </font>
    <font>
      <sz val="10"/>
      <name val="等线"/>
      <charset val="134"/>
    </font>
    <font>
      <b/>
      <sz val="14"/>
      <name val="宋体"/>
      <charset val="134"/>
    </font>
    <font>
      <sz val="11"/>
      <color rgb="FF161616"/>
      <name val="宋体"/>
      <charset val="134"/>
    </font>
    <font>
      <sz val="10"/>
      <color rgb="FF181818"/>
      <name val="宋体"/>
      <charset val="134"/>
    </font>
    <font>
      <sz val="10"/>
      <color rgb="FF000000"/>
      <name val="宋体"/>
      <charset val="204"/>
    </font>
    <font>
      <sz val="10"/>
      <name val="宋体"/>
      <charset val="134"/>
    </font>
    <font>
      <sz val="10"/>
      <color rgb="FF000000"/>
      <name val="Times New Roman"/>
      <charset val="204"/>
    </font>
    <font>
      <sz val="10"/>
      <color rgb="FF161616"/>
      <name val="宋体"/>
      <charset val="134"/>
    </font>
    <font>
      <sz val="10"/>
      <color rgb="FF000000"/>
      <name val="Arial"/>
      <charset val="134"/>
    </font>
    <font>
      <sz val="10"/>
      <color theme="1"/>
      <name val="宋体"/>
      <charset val="134"/>
    </font>
    <font>
      <sz val="10"/>
      <color rgb="FF181818"/>
      <name val="宋体"/>
      <charset val="204"/>
    </font>
    <font>
      <sz val="10"/>
      <color theme="1"/>
      <name val="宋体"/>
      <charset val="134"/>
      <scheme val="minor"/>
    </font>
    <font>
      <sz val="10"/>
      <color rgb="FF282828"/>
      <name val="宋体"/>
      <charset val="134"/>
    </font>
    <font>
      <sz val="10"/>
      <color rgb="FF2A2A2A"/>
      <name val="宋体"/>
      <charset val="134"/>
    </font>
    <font>
      <sz val="10"/>
      <color rgb="FF262626"/>
      <name val="宋体"/>
      <charset val="134"/>
    </font>
    <font>
      <sz val="10"/>
      <name val="Arial"/>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3B3B3B"/>
      <name val="宋体"/>
      <charset val="134"/>
    </font>
    <font>
      <sz val="10"/>
      <color rgb="FF363636"/>
      <name val="宋体"/>
      <charset val="134"/>
    </font>
    <font>
      <sz val="10"/>
      <color rgb="FF3D3D3D"/>
      <name val="宋体"/>
      <charset val="134"/>
    </font>
    <font>
      <sz val="10"/>
      <color rgb="FF494949"/>
      <name val="宋体"/>
      <charset val="134"/>
    </font>
    <font>
      <sz val="10"/>
      <color rgb="FF343434"/>
      <name val="宋体"/>
      <charset val="134"/>
    </font>
    <font>
      <sz val="10"/>
      <color rgb="FF3A3A3A"/>
      <name val="宋体"/>
      <charset val="134"/>
    </font>
    <font>
      <sz val="10"/>
      <color rgb="FF3F3F3F"/>
      <name val="宋体"/>
      <charset val="134"/>
    </font>
    <font>
      <sz val="10"/>
      <color rgb="FF48484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rgb="FF000000"/>
      </top>
      <bottom style="thin">
        <color rgb="FF000000"/>
      </bottom>
      <diagonal/>
    </border>
    <border>
      <left style="thin">
        <color auto="1"/>
      </left>
      <right style="thin">
        <color auto="1"/>
      </right>
      <top/>
      <bottom style="thin">
        <color rgb="FF000000"/>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top style="thin">
        <color rgb="FF000000"/>
      </top>
      <bottom style="thin">
        <color auto="1"/>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bottom/>
      <diagonal/>
    </border>
    <border>
      <left style="thin">
        <color auto="1"/>
      </left>
      <right style="thin">
        <color auto="1"/>
      </right>
      <top style="thin">
        <color rgb="FF000000"/>
      </top>
      <bottom style="thin">
        <color rgb="FF000000"/>
      </bottom>
      <diagonal/>
    </border>
    <border>
      <left style="thin">
        <color auto="1"/>
      </left>
      <right/>
      <top style="thin">
        <color rgb="FF000000"/>
      </top>
      <bottom style="thin">
        <color rgb="FF000000"/>
      </bottom>
      <diagonal/>
    </border>
    <border>
      <left style="thin">
        <color auto="1"/>
      </left>
      <right style="thin">
        <color auto="1"/>
      </right>
      <top style="thin">
        <color rgb="FF000000"/>
      </top>
      <bottom/>
      <diagonal/>
    </border>
    <border>
      <left style="thin">
        <color auto="1"/>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3" fillId="0" borderId="0" applyBorder="0" applyAlignment="0" applyProtection="0"/>
    <xf numFmtId="44" fontId="23" fillId="0" borderId="0" applyBorder="0" applyAlignment="0" applyProtection="0"/>
    <xf numFmtId="9" fontId="23" fillId="0" borderId="0" applyBorder="0" applyAlignment="0" applyProtection="0"/>
    <xf numFmtId="41" fontId="23" fillId="0" borderId="0" applyBorder="0" applyAlignment="0" applyProtection="0"/>
    <xf numFmtId="42" fontId="23" fillId="0" borderId="0" applyBorder="0" applyAlignment="0" applyProtection="0"/>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3" borderId="27"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28" applyNumberFormat="0" applyFill="0" applyAlignment="0" applyProtection="0">
      <alignment vertical="center"/>
    </xf>
    <xf numFmtId="0" fontId="31" fillId="0" borderId="28" applyNumberFormat="0" applyFill="0" applyAlignment="0" applyProtection="0">
      <alignment vertical="center"/>
    </xf>
    <xf numFmtId="0" fontId="32" fillId="0" borderId="29" applyNumberFormat="0" applyFill="0" applyAlignment="0" applyProtection="0">
      <alignment vertical="center"/>
    </xf>
    <xf numFmtId="0" fontId="32" fillId="0" borderId="0" applyNumberFormat="0" applyFill="0" applyBorder="0" applyAlignment="0" applyProtection="0">
      <alignment vertical="center"/>
    </xf>
    <xf numFmtId="0" fontId="33" fillId="4" borderId="30" applyNumberFormat="0" applyAlignment="0" applyProtection="0">
      <alignment vertical="center"/>
    </xf>
    <xf numFmtId="0" fontId="34" fillId="5" borderId="31" applyNumberFormat="0" applyAlignment="0" applyProtection="0">
      <alignment vertical="center"/>
    </xf>
    <xf numFmtId="0" fontId="35" fillId="5" borderId="30" applyNumberFormat="0" applyAlignment="0" applyProtection="0">
      <alignment vertical="center"/>
    </xf>
    <xf numFmtId="0" fontId="36" fillId="6" borderId="32" applyNumberFormat="0" applyAlignment="0" applyProtection="0">
      <alignment vertical="center"/>
    </xf>
    <xf numFmtId="0" fontId="37" fillId="0" borderId="33" applyNumberFormat="0" applyFill="0" applyAlignment="0" applyProtection="0">
      <alignment vertical="center"/>
    </xf>
    <xf numFmtId="0" fontId="38" fillId="0" borderId="34"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cellStyleXfs>
  <cellXfs count="153">
    <xf numFmtId="0" fontId="0" fillId="0" borderId="0" xfId="0">
      <alignment vertical="center"/>
    </xf>
    <xf numFmtId="0" fontId="1" fillId="0" borderId="0" xfId="0" applyFont="1" applyAlignment="1">
      <alignment horizontal="left" vertical="center"/>
    </xf>
    <xf numFmtId="0" fontId="1"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49" fontId="3"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Border="1" applyAlignment="1">
      <alignment horizontal="center" vertical="center" wrapText="1"/>
    </xf>
    <xf numFmtId="0" fontId="4" fillId="0" borderId="0"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1" fillId="0" borderId="0" xfId="0" applyFont="1" applyBorder="1" applyAlignment="1">
      <alignment horizontal="left" vertical="center" wrapText="1"/>
    </xf>
    <xf numFmtId="0" fontId="9" fillId="0" borderId="0" xfId="0" applyFont="1" applyAlignment="1">
      <alignment horizontal="left" vertical="center"/>
    </xf>
    <xf numFmtId="0" fontId="9" fillId="0" borderId="0" xfId="0" applyFont="1" applyAlignment="1">
      <alignment vertical="center" wrapText="1"/>
    </xf>
    <xf numFmtId="0" fontId="1" fillId="0" borderId="0" xfId="0" applyFont="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Border="1" applyAlignment="1">
      <alignment vertical="center"/>
    </xf>
    <xf numFmtId="0" fontId="1" fillId="0" borderId="0" xfId="0" applyFont="1" applyBorder="1" applyAlignment="1">
      <alignment horizontal="left" vertical="center"/>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1" fontId="11" fillId="0" borderId="4" xfId="0" applyNumberFormat="1" applyFont="1" applyFill="1" applyBorder="1" applyAlignment="1">
      <alignment horizontal="center" vertical="center" shrinkToFit="1"/>
    </xf>
    <xf numFmtId="177" fontId="11" fillId="0" borderId="5" xfId="0" applyNumberFormat="1" applyFont="1" applyFill="1" applyBorder="1" applyAlignment="1">
      <alignment horizontal="center" vertical="center" shrinkToFit="1"/>
    </xf>
    <xf numFmtId="0" fontId="11"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1" fillId="0" borderId="1"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xf>
    <xf numFmtId="1" fontId="11" fillId="0" borderId="6" xfId="0" applyNumberFormat="1" applyFont="1" applyFill="1" applyBorder="1" applyAlignment="1">
      <alignment horizontal="center" vertical="center" shrinkToFit="1"/>
    </xf>
    <xf numFmtId="177" fontId="11" fillId="0" borderId="7" xfId="0" applyNumberFormat="1" applyFont="1" applyFill="1" applyBorder="1" applyAlignment="1">
      <alignment horizontal="center" vertical="center" shrinkToFit="1"/>
    </xf>
    <xf numFmtId="0" fontId="12" fillId="0" borderId="7"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3" fillId="0" borderId="1" xfId="0" applyFont="1" applyFill="1" applyBorder="1" applyAlignment="1">
      <alignment horizontal="center" vertical="center" wrapText="1"/>
    </xf>
    <xf numFmtId="1" fontId="11" fillId="0" borderId="8" xfId="0" applyNumberFormat="1" applyFont="1" applyFill="1" applyBorder="1" applyAlignment="1">
      <alignment horizontal="center" vertical="center" shrinkToFit="1"/>
    </xf>
    <xf numFmtId="0" fontId="11"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1" fontId="11" fillId="0" borderId="4" xfId="0" applyNumberFormat="1" applyFont="1" applyFill="1" applyBorder="1" applyAlignment="1">
      <alignment vertical="center" shrinkToFit="1"/>
    </xf>
    <xf numFmtId="177" fontId="11" fillId="0" borderId="9" xfId="0" applyNumberFormat="1" applyFont="1" applyFill="1" applyBorder="1" applyAlignment="1">
      <alignment vertical="center" shrinkToFit="1"/>
    </xf>
    <xf numFmtId="0" fontId="12" fillId="0" borderId="9" xfId="0" applyFont="1" applyFill="1" applyBorder="1" applyAlignment="1">
      <alignment vertical="center" wrapText="1"/>
    </xf>
    <xf numFmtId="0" fontId="11" fillId="0" borderId="9" xfId="0" applyFont="1" applyFill="1" applyBorder="1" applyAlignment="1">
      <alignment vertical="center" wrapText="1"/>
    </xf>
    <xf numFmtId="0" fontId="11" fillId="0" borderId="1" xfId="0" applyNumberFormat="1" applyFont="1" applyFill="1" applyBorder="1" applyAlignment="1">
      <alignment vertical="center" shrinkToFit="1"/>
    </xf>
    <xf numFmtId="0" fontId="14" fillId="0" borderId="1" xfId="0" applyFont="1" applyFill="1" applyBorder="1" applyAlignment="1">
      <alignment vertical="center" wrapText="1"/>
    </xf>
    <xf numFmtId="177" fontId="15" fillId="0" borderId="7" xfId="0" applyNumberFormat="1" applyFont="1" applyFill="1" applyBorder="1" applyAlignment="1">
      <alignment horizontal="center" vertical="center" shrinkToFit="1"/>
    </xf>
    <xf numFmtId="0" fontId="15" fillId="0" borderId="7" xfId="0" applyFont="1" applyFill="1" applyBorder="1" applyAlignment="1">
      <alignment horizontal="center" vertical="center" wrapText="1"/>
    </xf>
    <xf numFmtId="0" fontId="15" fillId="0" borderId="1" xfId="0" applyNumberFormat="1" applyFont="1" applyFill="1" applyBorder="1" applyAlignment="1">
      <alignment horizontal="center" vertical="center" shrinkToFit="1"/>
    </xf>
    <xf numFmtId="1" fontId="15" fillId="0" borderId="8"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xf>
    <xf numFmtId="1" fontId="15" fillId="0" borderId="4" xfId="0" applyNumberFormat="1" applyFont="1" applyFill="1" applyBorder="1" applyAlignment="1">
      <alignment horizontal="center" vertical="center" shrinkToFit="1"/>
    </xf>
    <xf numFmtId="1" fontId="15" fillId="0" borderId="6" xfId="0" applyNumberFormat="1" applyFont="1" applyFill="1" applyBorder="1" applyAlignment="1">
      <alignment horizontal="center" vertical="center" shrinkToFi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7" fillId="0" borderId="12" xfId="0" applyFont="1" applyFill="1" applyBorder="1" applyAlignment="1">
      <alignment horizontal="center" vertical="center" wrapText="1"/>
    </xf>
    <xf numFmtId="177" fontId="11" fillId="0" borderId="13" xfId="0" applyNumberFormat="1" applyFont="1" applyFill="1" applyBorder="1" applyAlignment="1">
      <alignment horizontal="center" vertical="center" shrinkToFit="1"/>
    </xf>
    <xf numFmtId="0" fontId="18" fillId="0" borderId="7"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9" fillId="0" borderId="1" xfId="0" applyFont="1" applyFill="1" applyBorder="1" applyAlignment="1">
      <alignment horizontal="center" vertical="center"/>
    </xf>
    <xf numFmtId="177" fontId="11" fillId="0" borderId="7" xfId="0" applyNumberFormat="1" applyFont="1" applyFill="1" applyBorder="1" applyAlignment="1">
      <alignment horizontal="center" vertical="center" wrapText="1" shrinkToFit="1"/>
    </xf>
    <xf numFmtId="0" fontId="20" fillId="0" borderId="7" xfId="0" applyFont="1" applyFill="1" applyBorder="1" applyAlignment="1">
      <alignment horizontal="center" vertical="center" wrapText="1"/>
    </xf>
    <xf numFmtId="0" fontId="20" fillId="0" borderId="1" xfId="0" applyNumberFormat="1" applyFont="1" applyFill="1" applyBorder="1" applyAlignment="1">
      <alignment horizontal="center" vertical="center" shrinkToFit="1"/>
    </xf>
    <xf numFmtId="0" fontId="12" fillId="0" borderId="1" xfId="0" applyFont="1" applyFill="1" applyBorder="1" applyAlignment="1">
      <alignment horizontal="center" vertical="center"/>
    </xf>
    <xf numFmtId="1" fontId="11" fillId="0" borderId="1" xfId="0" applyNumberFormat="1" applyFont="1" applyFill="1" applyBorder="1" applyAlignment="1">
      <alignment horizontal="center" vertical="center" shrinkToFit="1"/>
    </xf>
    <xf numFmtId="177" fontId="11" fillId="0" borderId="1"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xf>
    <xf numFmtId="0" fontId="12" fillId="0" borderId="10" xfId="0" applyFont="1" applyFill="1" applyBorder="1" applyAlignment="1">
      <alignment horizontal="center" vertical="center" wrapText="1"/>
    </xf>
    <xf numFmtId="1" fontId="11" fillId="0" borderId="15" xfId="0" applyNumberFormat="1" applyFont="1" applyFill="1" applyBorder="1" applyAlignment="1">
      <alignment horizontal="center" vertical="center" shrinkToFit="1"/>
    </xf>
    <xf numFmtId="177" fontId="11" fillId="0" borderId="15" xfId="0" applyNumberFormat="1" applyFont="1" applyFill="1" applyBorder="1" applyAlignment="1">
      <alignment horizontal="center" vertical="center" shrinkToFit="1"/>
    </xf>
    <xf numFmtId="0" fontId="11" fillId="0" borderId="15"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6" xfId="0" applyFont="1" applyFill="1" applyBorder="1" applyAlignment="1">
      <alignment horizontal="center" vertical="center" wrapText="1"/>
    </xf>
    <xf numFmtId="1" fontId="11" fillId="0" borderId="8" xfId="0" applyNumberFormat="1" applyFont="1" applyFill="1" applyBorder="1" applyAlignment="1">
      <alignment vertical="center" shrinkToFit="1"/>
    </xf>
    <xf numFmtId="0" fontId="11" fillId="0" borderId="1" xfId="0" applyFont="1" applyFill="1" applyBorder="1" applyAlignment="1">
      <alignment vertical="center" wrapText="1"/>
    </xf>
    <xf numFmtId="1" fontId="11" fillId="0" borderId="17" xfId="0" applyNumberFormat="1" applyFont="1" applyFill="1" applyBorder="1" applyAlignment="1">
      <alignment horizontal="center" vertical="center" shrinkToFit="1"/>
    </xf>
    <xf numFmtId="0" fontId="12" fillId="0" borderId="1" xfId="0" applyNumberFormat="1"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17" fillId="0" borderId="10"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1"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xf>
    <xf numFmtId="0" fontId="12" fillId="0" borderId="17" xfId="0" applyFont="1" applyFill="1" applyBorder="1" applyAlignment="1">
      <alignment horizontal="center" vertical="center" wrapText="1"/>
    </xf>
    <xf numFmtId="0" fontId="20" fillId="0" borderId="1" xfId="0" applyFont="1" applyFill="1" applyBorder="1" applyAlignment="1">
      <alignment horizontal="center" vertical="center" wrapText="1"/>
    </xf>
    <xf numFmtId="1" fontId="11" fillId="0" borderId="7" xfId="0" applyNumberFormat="1" applyFont="1" applyFill="1" applyBorder="1" applyAlignment="1">
      <alignment horizontal="center" vertical="center" shrinkToFit="1"/>
    </xf>
    <xf numFmtId="0" fontId="12" fillId="0" borderId="8" xfId="0" applyFont="1" applyFill="1" applyBorder="1" applyAlignment="1">
      <alignment horizontal="center" vertical="center" wrapText="1"/>
    </xf>
    <xf numFmtId="0" fontId="12" fillId="0" borderId="6" xfId="0" applyFont="1" applyFill="1" applyBorder="1" applyAlignment="1">
      <alignment horizontal="center" vertical="center" wrapText="1"/>
    </xf>
    <xf numFmtId="1" fontId="11" fillId="2" borderId="6" xfId="0" applyNumberFormat="1" applyFont="1" applyFill="1" applyBorder="1" applyAlignment="1">
      <alignment horizontal="center" vertical="center" shrinkToFit="1"/>
    </xf>
    <xf numFmtId="1" fontId="11" fillId="0" borderId="20" xfId="0" applyNumberFormat="1" applyFont="1" applyFill="1" applyBorder="1" applyAlignment="1">
      <alignment horizontal="center" vertical="center" shrinkToFit="1"/>
    </xf>
    <xf numFmtId="1" fontId="11" fillId="0" borderId="21" xfId="0" applyNumberFormat="1" applyFont="1" applyFill="1" applyBorder="1" applyAlignment="1">
      <alignment horizontal="center" vertical="center" shrinkToFit="1"/>
    </xf>
    <xf numFmtId="1" fontId="15" fillId="0" borderId="17" xfId="0" applyNumberFormat="1" applyFont="1" applyFill="1" applyBorder="1" applyAlignment="1">
      <alignment horizontal="center" vertical="center" shrinkToFit="1"/>
    </xf>
    <xf numFmtId="0" fontId="22" fillId="0" borderId="7" xfId="0" applyFont="1" applyFill="1" applyBorder="1" applyAlignment="1">
      <alignment horizontal="center" vertical="center" wrapText="1"/>
    </xf>
    <xf numFmtId="0" fontId="22" fillId="0" borderId="1" xfId="0" applyNumberFormat="1" applyFont="1" applyFill="1" applyBorder="1" applyAlignment="1">
      <alignment horizontal="center" vertical="center" shrinkToFit="1"/>
    </xf>
    <xf numFmtId="0" fontId="15" fillId="0" borderId="1" xfId="0" applyNumberFormat="1" applyFont="1" applyFill="1" applyBorder="1" applyAlignment="1">
      <alignment horizontal="center" vertical="center" wrapText="1"/>
    </xf>
    <xf numFmtId="0" fontId="17" fillId="0" borderId="18" xfId="0" applyFont="1" applyFill="1" applyBorder="1" applyAlignment="1">
      <alignment horizontal="center" vertical="center"/>
    </xf>
    <xf numFmtId="1" fontId="11" fillId="2" borderId="4" xfId="0" applyNumberFormat="1" applyFont="1" applyFill="1" applyBorder="1" applyAlignment="1">
      <alignment horizontal="center" vertical="center" shrinkToFit="1"/>
    </xf>
    <xf numFmtId="0" fontId="12" fillId="0" borderId="9"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20" fillId="0" borderId="7" xfId="0" applyFont="1" applyFill="1" applyBorder="1" applyAlignment="1">
      <alignment horizontal="left" vertical="center" wrapText="1"/>
    </xf>
    <xf numFmtId="1" fontId="5" fillId="0" borderId="9" xfId="0" applyNumberFormat="1" applyFont="1" applyFill="1" applyBorder="1" applyAlignment="1">
      <alignment horizontal="center" vertical="center" shrinkToFit="1"/>
    </xf>
    <xf numFmtId="177" fontId="5" fillId="0" borderId="7" xfId="0" applyNumberFormat="1" applyFont="1" applyFill="1" applyBorder="1" applyAlignment="1">
      <alignment horizontal="center" vertical="center" shrinkToFit="1"/>
    </xf>
    <xf numFmtId="1" fontId="5" fillId="0" borderId="1" xfId="0" applyNumberFormat="1" applyFont="1" applyFill="1" applyBorder="1" applyAlignment="1">
      <alignment horizontal="center" vertical="center" shrinkToFit="1"/>
    </xf>
    <xf numFmtId="1" fontId="5" fillId="0" borderId="22" xfId="0" applyNumberFormat="1" applyFont="1" applyFill="1" applyBorder="1" applyAlignment="1">
      <alignment horizontal="center" vertical="center" shrinkToFit="1"/>
    </xf>
    <xf numFmtId="1" fontId="5" fillId="0" borderId="5" xfId="0" applyNumberFormat="1" applyFont="1" applyFill="1" applyBorder="1" applyAlignment="1">
      <alignment horizontal="center" vertical="center" shrinkToFit="1"/>
    </xf>
    <xf numFmtId="1" fontId="5" fillId="0" borderId="7" xfId="0" applyNumberFormat="1" applyFont="1" applyFill="1" applyBorder="1" applyAlignment="1">
      <alignment horizontal="center" vertical="center" shrinkToFit="1"/>
    </xf>
    <xf numFmtId="177" fontId="5" fillId="0" borderId="22" xfId="0" applyNumberFormat="1" applyFont="1" applyFill="1" applyBorder="1" applyAlignment="1">
      <alignment horizontal="center" vertical="center" shrinkToFit="1"/>
    </xf>
    <xf numFmtId="0" fontId="13" fillId="0" borderId="22" xfId="0" applyFont="1" applyFill="1" applyBorder="1" applyAlignment="1">
      <alignment horizontal="center" vertical="center" wrapText="1"/>
    </xf>
    <xf numFmtId="0" fontId="13" fillId="0" borderId="9" xfId="0" applyFont="1" applyFill="1" applyBorder="1" applyAlignment="1">
      <alignment vertical="center" wrapText="1"/>
    </xf>
    <xf numFmtId="0" fontId="12" fillId="0" borderId="22" xfId="0" applyFont="1" applyFill="1" applyBorder="1" applyAlignment="1">
      <alignment horizontal="center" vertical="center" wrapText="1"/>
    </xf>
    <xf numFmtId="1" fontId="5" fillId="0" borderId="18" xfId="0" applyNumberFormat="1" applyFont="1" applyFill="1" applyBorder="1" applyAlignment="1">
      <alignment horizontal="center" vertical="center" shrinkToFit="1"/>
    </xf>
    <xf numFmtId="177" fontId="5" fillId="0" borderId="18" xfId="0" applyNumberFormat="1" applyFont="1" applyFill="1" applyBorder="1" applyAlignment="1">
      <alignment horizontal="center" vertical="center" shrinkToFit="1"/>
    </xf>
    <xf numFmtId="0" fontId="12" fillId="0" borderId="18" xfId="0" applyFont="1" applyFill="1" applyBorder="1" applyAlignment="1">
      <alignment horizontal="center" vertical="center" wrapText="1"/>
    </xf>
    <xf numFmtId="0" fontId="13" fillId="0" borderId="18" xfId="0" applyFont="1" applyFill="1" applyBorder="1" applyAlignment="1">
      <alignment vertical="center" wrapText="1"/>
    </xf>
    <xf numFmtId="0" fontId="13" fillId="0" borderId="18" xfId="0" applyFont="1" applyFill="1" applyBorder="1" applyAlignment="1">
      <alignment horizontal="center" vertical="center" wrapText="1"/>
    </xf>
    <xf numFmtId="0" fontId="12" fillId="0" borderId="19" xfId="0" applyFont="1" applyFill="1" applyBorder="1" applyAlignment="1">
      <alignment vertical="center" wrapText="1"/>
    </xf>
    <xf numFmtId="177" fontId="5" fillId="0" borderId="1" xfId="0" applyNumberFormat="1" applyFont="1" applyFill="1" applyBorder="1" applyAlignment="1">
      <alignment horizontal="center" vertical="center" shrinkToFit="1"/>
    </xf>
    <xf numFmtId="0" fontId="12" fillId="0" borderId="10" xfId="0" applyFont="1" applyFill="1" applyBorder="1" applyAlignment="1">
      <alignment vertical="center" wrapText="1"/>
    </xf>
    <xf numFmtId="0" fontId="5" fillId="0" borderId="1" xfId="0" applyNumberFormat="1" applyFont="1" applyFill="1" applyBorder="1" applyAlignment="1">
      <alignment horizontal="center" vertical="center" shrinkToFit="1"/>
    </xf>
    <xf numFmtId="9" fontId="5" fillId="0" borderId="1" xfId="0" applyNumberFormat="1" applyFont="1" applyFill="1" applyBorder="1" applyAlignment="1">
      <alignment horizontal="center" vertical="center" shrinkToFit="1"/>
    </xf>
    <xf numFmtId="0" fontId="13" fillId="0" borderId="19" xfId="0" applyFont="1" applyFill="1" applyBorder="1" applyAlignment="1">
      <alignment horizontal="center" vertical="center" wrapText="1"/>
    </xf>
    <xf numFmtId="0" fontId="13" fillId="0" borderId="10" xfId="0" applyFont="1" applyFill="1" applyBorder="1" applyAlignment="1">
      <alignment horizontal="center" vertical="center" wrapText="1"/>
    </xf>
    <xf numFmtId="1" fontId="5" fillId="0" borderId="15" xfId="0" applyNumberFormat="1" applyFont="1" applyFill="1" applyBorder="1" applyAlignment="1">
      <alignment horizontal="center" vertical="center" shrinkToFit="1"/>
    </xf>
    <xf numFmtId="177" fontId="5" fillId="0" borderId="15" xfId="0" applyNumberFormat="1" applyFont="1" applyFill="1" applyBorder="1" applyAlignment="1">
      <alignment horizontal="center" vertical="center" shrinkToFit="1"/>
    </xf>
    <xf numFmtId="0" fontId="13" fillId="0" borderId="15" xfId="0" applyFont="1" applyFill="1" applyBorder="1" applyAlignment="1">
      <alignment horizontal="center" vertical="center" wrapText="1"/>
    </xf>
    <xf numFmtId="0" fontId="13" fillId="0" borderId="16" xfId="0" applyFont="1" applyFill="1" applyBorder="1" applyAlignment="1">
      <alignment horizontal="center" vertical="center" wrapText="1"/>
    </xf>
    <xf numFmtId="1" fontId="5" fillId="0" borderId="23" xfId="0" applyNumberFormat="1" applyFont="1" applyFill="1" applyBorder="1" applyAlignment="1">
      <alignment horizontal="center" vertical="center" shrinkToFit="1"/>
    </xf>
    <xf numFmtId="177" fontId="5" fillId="0" borderId="23" xfId="0" applyNumberFormat="1" applyFont="1" applyFill="1" applyBorder="1" applyAlignment="1">
      <alignment horizontal="center" vertical="center" shrinkToFit="1"/>
    </xf>
    <xf numFmtId="0" fontId="13" fillId="0" borderId="23" xfId="0" applyFont="1" applyFill="1" applyBorder="1" applyAlignment="1">
      <alignment horizontal="center" vertical="center" wrapText="1"/>
    </xf>
    <xf numFmtId="0" fontId="12" fillId="0" borderId="23" xfId="0" applyFont="1" applyFill="1" applyBorder="1" applyAlignment="1">
      <alignment horizontal="center" vertical="center" wrapText="1"/>
    </xf>
    <xf numFmtId="0" fontId="13" fillId="0" borderId="24"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1" fontId="5" fillId="0" borderId="25" xfId="0" applyNumberFormat="1" applyFont="1" applyFill="1" applyBorder="1" applyAlignment="1">
      <alignment horizontal="center" vertical="center" shrinkToFit="1"/>
    </xf>
    <xf numFmtId="177" fontId="5" fillId="0" borderId="25" xfId="0" applyNumberFormat="1" applyFont="1" applyFill="1" applyBorder="1" applyAlignment="1">
      <alignment horizontal="center" vertical="center" shrinkToFit="1"/>
    </xf>
    <xf numFmtId="0" fontId="13" fillId="0" borderId="25" xfId="0" applyFont="1" applyFill="1" applyBorder="1" applyAlignment="1">
      <alignment horizontal="center" vertical="center" wrapText="1"/>
    </xf>
    <xf numFmtId="0" fontId="12" fillId="0" borderId="25" xfId="0" applyFont="1" applyFill="1" applyBorder="1" applyAlignment="1">
      <alignment horizontal="center" vertical="center" wrapText="1"/>
    </xf>
    <xf numFmtId="0" fontId="13" fillId="0" borderId="26"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right" vertical="center" wrapText="1"/>
    </xf>
    <xf numFmtId="0" fontId="9" fillId="0" borderId="0" xfId="0" applyFont="1" applyAlignment="1">
      <alignment horizontal="center" vertical="center"/>
    </xf>
    <xf numFmtId="0" fontId="9" fillId="0" borderId="0" xfId="0" applyFont="1">
      <alignment vertical="center"/>
    </xf>
    <xf numFmtId="31" fontId="1" fillId="0" borderId="0" xfId="0" applyNumberFormat="1" applyFont="1" applyAlignment="1">
      <alignment horizontal="center" vertical="center"/>
    </xf>
    <xf numFmtId="0" fontId="5" fillId="0" borderId="1" xfId="0" applyFont="1" applyFill="1" applyBorder="1" applyAlignment="1" quotePrefix="1">
      <alignment horizontal="center" vertical="center" wrapText="1"/>
    </xf>
    <xf numFmtId="0" fontId="17" fillId="0" borderId="12" xfId="0" applyFont="1" applyFill="1" applyBorder="1" applyAlignment="1" quotePrefix="1">
      <alignment horizontal="center" vertical="center" wrapText="1"/>
    </xf>
    <xf numFmtId="0" fontId="17" fillId="0" borderId="1" xfId="0" applyFont="1" applyFill="1" applyBorder="1" applyAlignment="1" quotePrefix="1">
      <alignment horizontal="center" vertical="center" wrapText="1"/>
    </xf>
    <xf numFmtId="0" fontId="17" fillId="0" borderId="1" xfId="0" applyFont="1" applyFill="1" applyBorder="1" applyAlignment="1" quotePrefix="1">
      <alignment horizontal="center" vertical="center"/>
    </xf>
    <xf numFmtId="0" fontId="12" fillId="0" borderId="1" xfId="0" applyFont="1" applyFill="1" applyBorder="1" applyAlignment="1" quotePrefix="1">
      <alignment horizontal="center" vertical="center"/>
    </xf>
    <xf numFmtId="0" fontId="5" fillId="0" borderId="18" xfId="0" applyFont="1" applyFill="1" applyBorder="1" applyAlignment="1" quotePrefix="1">
      <alignment horizontal="center" vertical="center" wrapText="1"/>
    </xf>
    <xf numFmtId="0" fontId="12" fillId="0" borderId="7" xfId="0" applyFont="1" applyFill="1" applyBorder="1" applyAlignment="1" quotePrefix="1">
      <alignment horizontal="center" vertical="center" wrapText="1"/>
    </xf>
    <xf numFmtId="0" fontId="17" fillId="0" borderId="18" xfId="0" applyFont="1" applyFill="1" applyBorder="1" applyAlignment="1" quotePrefix="1">
      <alignment horizontal="center" vertical="center"/>
    </xf>
    <xf numFmtId="0" fontId="12" fillId="0" borderId="9"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0000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51"/>
  <sheetViews>
    <sheetView tabSelected="1" zoomScale="85" zoomScaleNormal="85" zoomScalePageLayoutView="55" topLeftCell="A1028" workbookViewId="0">
      <selection activeCell="N1048" sqref="N1048"/>
    </sheetView>
  </sheetViews>
  <sheetFormatPr defaultColWidth="9" defaultRowHeight="18.75"/>
  <cols>
    <col min="1" max="1" width="6.76666666666667" style="22" customWidth="1"/>
    <col min="2" max="2" width="15.8833333333333" style="1" customWidth="1"/>
    <col min="3" max="3" width="27.1333333333333" style="2" customWidth="1"/>
    <col min="4" max="4" width="34.7" style="23" customWidth="1"/>
    <col min="5" max="5" width="34.5583333333333" style="24" customWidth="1"/>
    <col min="6" max="6" width="15.3666666666667" style="24" customWidth="1"/>
    <col min="7" max="7" width="8.61666666666667" style="24" customWidth="1"/>
    <col min="8" max="8" width="7.13333333333333" style="2" customWidth="1"/>
    <col min="9" max="9" width="24.2583333333333" style="24" customWidth="1"/>
    <col min="10" max="10" width="9" style="23"/>
    <col min="11" max="16384" width="9" style="24"/>
  </cols>
  <sheetData>
    <row r="1" ht="33.75" customHeight="1" spans="1:11">
      <c r="A1" s="3" t="s">
        <v>0</v>
      </c>
      <c r="B1" s="3"/>
      <c r="C1" s="3"/>
      <c r="D1" s="3"/>
      <c r="E1" s="3"/>
      <c r="F1" s="3"/>
      <c r="G1" s="3"/>
      <c r="H1" s="3"/>
      <c r="I1" s="3"/>
      <c r="J1" s="3"/>
      <c r="K1" s="3"/>
    </row>
    <row r="2" ht="34.5" customHeight="1" spans="1:11">
      <c r="A2" s="25" t="s">
        <v>1</v>
      </c>
      <c r="B2" s="26"/>
      <c r="C2" s="26"/>
      <c r="E2" s="23"/>
      <c r="F2" s="23"/>
    </row>
    <row r="3" ht="34.5" customHeight="1" spans="1:11">
      <c r="A3" s="5" t="s">
        <v>2</v>
      </c>
      <c r="B3" s="5"/>
      <c r="C3" s="5"/>
      <c r="D3" s="5"/>
      <c r="E3" s="5"/>
      <c r="F3" s="5"/>
      <c r="G3" s="5"/>
      <c r="H3" s="5"/>
      <c r="I3" s="5"/>
      <c r="J3" s="5"/>
      <c r="K3" s="5"/>
    </row>
    <row r="4" ht="41" customHeight="1" spans="1:11">
      <c r="A4" s="27" t="s">
        <v>3</v>
      </c>
      <c r="B4" s="28" t="s">
        <v>4</v>
      </c>
      <c r="C4" s="28" t="s">
        <v>5</v>
      </c>
      <c r="D4" s="28" t="s">
        <v>6</v>
      </c>
      <c r="E4" s="28" t="s">
        <v>7</v>
      </c>
      <c r="F4" s="28" t="s">
        <v>8</v>
      </c>
      <c r="G4" s="28" t="s">
        <v>9</v>
      </c>
      <c r="H4" s="28" t="s">
        <v>10</v>
      </c>
      <c r="I4" s="28" t="s">
        <v>11</v>
      </c>
      <c r="J4" s="28" t="s">
        <v>12</v>
      </c>
      <c r="K4" s="28" t="s">
        <v>13</v>
      </c>
    </row>
    <row r="5" ht="41" customHeight="1" spans="1:11">
      <c r="A5" s="29">
        <v>1</v>
      </c>
      <c r="B5" s="30">
        <v>13306030010000</v>
      </c>
      <c r="C5" s="31" t="s">
        <v>14</v>
      </c>
      <c r="D5" s="31" t="s">
        <v>15</v>
      </c>
      <c r="E5" s="32" t="s">
        <v>16</v>
      </c>
      <c r="F5" s="32"/>
      <c r="G5" s="32"/>
      <c r="H5" s="31" t="s">
        <v>17</v>
      </c>
      <c r="I5" s="31" t="s">
        <v>18</v>
      </c>
      <c r="J5" s="33">
        <v>3075</v>
      </c>
      <c r="K5" s="34" t="s">
        <v>19</v>
      </c>
    </row>
    <row r="6" ht="41" customHeight="1" spans="1:11">
      <c r="A6" s="35"/>
      <c r="B6" s="36">
        <v>13306030010001</v>
      </c>
      <c r="C6" s="37" t="s">
        <v>20</v>
      </c>
      <c r="D6" s="37"/>
      <c r="E6" s="37"/>
      <c r="F6" s="37"/>
      <c r="G6" s="37"/>
      <c r="H6" s="38" t="s">
        <v>17</v>
      </c>
      <c r="I6" s="37"/>
      <c r="J6" s="33">
        <f>3075*0.2</f>
        <v>615</v>
      </c>
      <c r="K6" s="39"/>
    </row>
    <row r="7" ht="41" customHeight="1" spans="1:11">
      <c r="A7" s="40">
        <v>2</v>
      </c>
      <c r="B7" s="36">
        <v>13306030020000</v>
      </c>
      <c r="C7" s="38" t="s">
        <v>21</v>
      </c>
      <c r="D7" s="37" t="s">
        <v>22</v>
      </c>
      <c r="E7" s="38" t="s">
        <v>16</v>
      </c>
      <c r="F7" s="37"/>
      <c r="G7" s="37"/>
      <c r="H7" s="38" t="s">
        <v>17</v>
      </c>
      <c r="I7" s="37" t="s">
        <v>23</v>
      </c>
      <c r="J7" s="33">
        <v>4612</v>
      </c>
      <c r="K7" s="34" t="s">
        <v>19</v>
      </c>
    </row>
    <row r="8" ht="24" spans="1:11">
      <c r="A8" s="35"/>
      <c r="B8" s="36">
        <v>13306030020001</v>
      </c>
      <c r="C8" s="37" t="s">
        <v>24</v>
      </c>
      <c r="D8" s="37"/>
      <c r="E8" s="37"/>
      <c r="F8" s="37"/>
      <c r="G8" s="37"/>
      <c r="H8" s="38" t="s">
        <v>17</v>
      </c>
      <c r="I8" s="37"/>
      <c r="J8" s="33">
        <f>4612*0.2</f>
        <v>922.4</v>
      </c>
      <c r="K8" s="39"/>
    </row>
    <row r="9" ht="36" spans="1:11">
      <c r="A9" s="40">
        <v>3</v>
      </c>
      <c r="B9" s="36">
        <v>13306030030000</v>
      </c>
      <c r="C9" s="38" t="s">
        <v>25</v>
      </c>
      <c r="D9" s="38" t="s">
        <v>26</v>
      </c>
      <c r="E9" s="37" t="s">
        <v>16</v>
      </c>
      <c r="F9" s="37"/>
      <c r="G9" s="37"/>
      <c r="H9" s="38" t="s">
        <v>17</v>
      </c>
      <c r="I9" s="38" t="s">
        <v>18</v>
      </c>
      <c r="J9" s="33">
        <v>2813</v>
      </c>
      <c r="K9" s="34" t="s">
        <v>19</v>
      </c>
    </row>
    <row r="10" ht="24" spans="1:11">
      <c r="A10" s="35"/>
      <c r="B10" s="36">
        <v>13306030030001</v>
      </c>
      <c r="C10" s="37" t="s">
        <v>27</v>
      </c>
      <c r="D10" s="37"/>
      <c r="E10" s="37"/>
      <c r="F10" s="37"/>
      <c r="G10" s="37"/>
      <c r="H10" s="38" t="s">
        <v>17</v>
      </c>
      <c r="I10" s="37"/>
      <c r="J10" s="33">
        <f>2813*0.2</f>
        <v>562.6</v>
      </c>
      <c r="K10" s="39"/>
    </row>
    <row r="11" ht="41" customHeight="1" spans="1:11">
      <c r="A11" s="40">
        <v>4</v>
      </c>
      <c r="B11" s="36">
        <v>13306030040000</v>
      </c>
      <c r="C11" s="38" t="s">
        <v>28</v>
      </c>
      <c r="D11" s="37" t="s">
        <v>29</v>
      </c>
      <c r="E11" s="37" t="s">
        <v>16</v>
      </c>
      <c r="F11" s="37"/>
      <c r="G11" s="37"/>
      <c r="H11" s="38" t="s">
        <v>17</v>
      </c>
      <c r="I11" s="38" t="s">
        <v>30</v>
      </c>
      <c r="J11" s="33">
        <v>4220</v>
      </c>
      <c r="K11" s="34" t="s">
        <v>19</v>
      </c>
    </row>
    <row r="12" ht="41" customHeight="1" spans="1:11">
      <c r="A12" s="35"/>
      <c r="B12" s="36">
        <v>13306030040001</v>
      </c>
      <c r="C12" s="37" t="s">
        <v>31</v>
      </c>
      <c r="D12" s="37"/>
      <c r="E12" s="37"/>
      <c r="F12" s="37"/>
      <c r="G12" s="37"/>
      <c r="H12" s="38" t="s">
        <v>17</v>
      </c>
      <c r="I12" s="37"/>
      <c r="J12" s="33">
        <f>4220*0.2</f>
        <v>844</v>
      </c>
      <c r="K12" s="39"/>
    </row>
    <row r="13" ht="41" customHeight="1" spans="1:11">
      <c r="A13" s="40">
        <v>5</v>
      </c>
      <c r="B13" s="36">
        <v>13306030050000</v>
      </c>
      <c r="C13" s="38" t="s">
        <v>32</v>
      </c>
      <c r="D13" s="37" t="s">
        <v>33</v>
      </c>
      <c r="E13" s="37" t="s">
        <v>34</v>
      </c>
      <c r="F13" s="37"/>
      <c r="G13" s="37"/>
      <c r="H13" s="38" t="s">
        <v>35</v>
      </c>
      <c r="I13" s="37"/>
      <c r="J13" s="33">
        <v>2750</v>
      </c>
      <c r="K13" s="34" t="s">
        <v>19</v>
      </c>
    </row>
    <row r="14" ht="41" customHeight="1" spans="1:11">
      <c r="A14" s="35"/>
      <c r="B14" s="36">
        <v>13306030050001</v>
      </c>
      <c r="C14" s="37" t="s">
        <v>36</v>
      </c>
      <c r="D14" s="37"/>
      <c r="E14" s="37"/>
      <c r="F14" s="37"/>
      <c r="G14" s="37"/>
      <c r="H14" s="38" t="s">
        <v>35</v>
      </c>
      <c r="I14" s="37"/>
      <c r="J14" s="33">
        <f>2750*0.2</f>
        <v>550</v>
      </c>
      <c r="K14" s="39"/>
    </row>
    <row r="15" ht="41" customHeight="1" spans="1:11">
      <c r="A15" s="40">
        <v>6</v>
      </c>
      <c r="B15" s="36">
        <v>13306030060000</v>
      </c>
      <c r="C15" s="38" t="s">
        <v>37</v>
      </c>
      <c r="D15" s="38" t="s">
        <v>38</v>
      </c>
      <c r="E15" s="37" t="s">
        <v>39</v>
      </c>
      <c r="F15" s="37"/>
      <c r="G15" s="37"/>
      <c r="H15" s="38" t="s">
        <v>17</v>
      </c>
      <c r="I15" s="37"/>
      <c r="J15" s="33">
        <v>2714</v>
      </c>
      <c r="K15" s="34" t="s">
        <v>40</v>
      </c>
    </row>
    <row r="16" spans="1:11">
      <c r="A16" s="35"/>
      <c r="B16" s="36">
        <v>13306030060001</v>
      </c>
      <c r="C16" s="38" t="s">
        <v>41</v>
      </c>
      <c r="D16" s="37"/>
      <c r="E16" s="37"/>
      <c r="F16" s="37"/>
      <c r="G16" s="37"/>
      <c r="H16" s="38" t="s">
        <v>17</v>
      </c>
      <c r="I16" s="37"/>
      <c r="J16" s="33">
        <f>2714*0.2</f>
        <v>542.8</v>
      </c>
      <c r="K16" s="39"/>
    </row>
    <row r="17" ht="48" spans="1:11">
      <c r="A17" s="40">
        <v>7</v>
      </c>
      <c r="B17" s="36">
        <v>13306030070000</v>
      </c>
      <c r="C17" s="37" t="s">
        <v>42</v>
      </c>
      <c r="D17" s="38" t="s">
        <v>43</v>
      </c>
      <c r="E17" s="37" t="s">
        <v>44</v>
      </c>
      <c r="F17" s="37"/>
      <c r="G17" s="37"/>
      <c r="H17" s="38" t="s">
        <v>45</v>
      </c>
      <c r="I17" s="37" t="s">
        <v>46</v>
      </c>
      <c r="J17" s="33">
        <v>1316</v>
      </c>
      <c r="K17" s="34" t="s">
        <v>47</v>
      </c>
    </row>
    <row r="18" ht="24" spans="1:11">
      <c r="A18" s="35"/>
      <c r="B18" s="36">
        <v>13306030070001</v>
      </c>
      <c r="C18" s="37" t="s">
        <v>48</v>
      </c>
      <c r="D18" s="37"/>
      <c r="E18" s="37"/>
      <c r="F18" s="37"/>
      <c r="G18" s="37"/>
      <c r="H18" s="38" t="s">
        <v>45</v>
      </c>
      <c r="I18" s="37"/>
      <c r="J18" s="33">
        <f>1316*0.2</f>
        <v>263.2</v>
      </c>
      <c r="K18" s="39"/>
    </row>
    <row r="19" ht="41" customHeight="1" spans="1:11">
      <c r="A19" s="40">
        <v>8</v>
      </c>
      <c r="B19" s="36">
        <v>13306030080000</v>
      </c>
      <c r="C19" s="37" t="s">
        <v>49</v>
      </c>
      <c r="D19" s="37" t="s">
        <v>50</v>
      </c>
      <c r="E19" s="37" t="s">
        <v>44</v>
      </c>
      <c r="F19" s="37"/>
      <c r="G19" s="37"/>
      <c r="H19" s="38" t="s">
        <v>45</v>
      </c>
      <c r="I19" s="37" t="s">
        <v>51</v>
      </c>
      <c r="J19" s="33">
        <v>1963</v>
      </c>
      <c r="K19" s="34" t="s">
        <v>47</v>
      </c>
    </row>
    <row r="20" ht="41" customHeight="1" spans="1:11">
      <c r="A20" s="35"/>
      <c r="B20" s="36">
        <v>13306030080001</v>
      </c>
      <c r="C20" s="37" t="s">
        <v>52</v>
      </c>
      <c r="D20" s="37"/>
      <c r="E20" s="37"/>
      <c r="F20" s="37"/>
      <c r="G20" s="37"/>
      <c r="H20" s="38" t="s">
        <v>45</v>
      </c>
      <c r="I20" s="37"/>
      <c r="J20" s="33">
        <f>1963*0.2</f>
        <v>392.6</v>
      </c>
      <c r="K20" s="39"/>
    </row>
    <row r="21" ht="41" customHeight="1" spans="1:11">
      <c r="A21" s="40">
        <v>9</v>
      </c>
      <c r="B21" s="36">
        <v>13306030090000</v>
      </c>
      <c r="C21" s="38" t="s">
        <v>53</v>
      </c>
      <c r="D21" s="38" t="s">
        <v>54</v>
      </c>
      <c r="E21" s="37" t="s">
        <v>55</v>
      </c>
      <c r="F21" s="37"/>
      <c r="G21" s="37"/>
      <c r="H21" s="38" t="s">
        <v>45</v>
      </c>
      <c r="I21" s="38" t="s">
        <v>56</v>
      </c>
      <c r="J21" s="33">
        <v>2692</v>
      </c>
      <c r="K21" s="34" t="s">
        <v>19</v>
      </c>
    </row>
    <row r="22" ht="41" customHeight="1" spans="1:11">
      <c r="A22" s="35"/>
      <c r="B22" s="36">
        <v>13306030090001</v>
      </c>
      <c r="C22" s="37" t="s">
        <v>57</v>
      </c>
      <c r="D22" s="37"/>
      <c r="E22" s="37"/>
      <c r="F22" s="37"/>
      <c r="G22" s="37"/>
      <c r="H22" s="38" t="s">
        <v>45</v>
      </c>
      <c r="I22" s="37"/>
      <c r="J22" s="33">
        <f>2692*0.2</f>
        <v>538.4</v>
      </c>
      <c r="K22" s="39"/>
    </row>
    <row r="23" ht="41" customHeight="1" spans="1:11">
      <c r="A23" s="40">
        <v>10</v>
      </c>
      <c r="B23" s="36">
        <v>13306030100000</v>
      </c>
      <c r="C23" s="37" t="s">
        <v>58</v>
      </c>
      <c r="D23" s="38" t="s">
        <v>59</v>
      </c>
      <c r="E23" s="37" t="s">
        <v>60</v>
      </c>
      <c r="F23" s="37"/>
      <c r="G23" s="37"/>
      <c r="H23" s="38" t="s">
        <v>45</v>
      </c>
      <c r="I23" s="38" t="s">
        <v>56</v>
      </c>
      <c r="J23" s="33">
        <v>1743</v>
      </c>
      <c r="K23" s="34" t="s">
        <v>19</v>
      </c>
    </row>
    <row r="24" ht="41" customHeight="1" spans="1:11">
      <c r="A24" s="35"/>
      <c r="B24" s="36">
        <v>13306030100001</v>
      </c>
      <c r="C24" s="37" t="s">
        <v>61</v>
      </c>
      <c r="D24" s="37"/>
      <c r="E24" s="37"/>
      <c r="F24" s="37"/>
      <c r="G24" s="37"/>
      <c r="H24" s="38" t="s">
        <v>45</v>
      </c>
      <c r="I24" s="37"/>
      <c r="J24" s="33">
        <f>1743*0.2</f>
        <v>348.6</v>
      </c>
      <c r="K24" s="39"/>
    </row>
    <row r="25" ht="41" customHeight="1" spans="1:11">
      <c r="A25" s="40">
        <v>11</v>
      </c>
      <c r="B25" s="36">
        <v>13306030110000</v>
      </c>
      <c r="C25" s="37" t="s">
        <v>62</v>
      </c>
      <c r="D25" s="38" t="s">
        <v>63</v>
      </c>
      <c r="E25" s="38" t="s">
        <v>64</v>
      </c>
      <c r="F25" s="38" t="s">
        <v>65</v>
      </c>
      <c r="G25" s="37"/>
      <c r="H25" s="38" t="s">
        <v>45</v>
      </c>
      <c r="I25" s="37" t="s">
        <v>66</v>
      </c>
      <c r="J25" s="33">
        <v>3435</v>
      </c>
      <c r="K25" s="34" t="s">
        <v>19</v>
      </c>
    </row>
    <row r="26" ht="41" customHeight="1" spans="1:11">
      <c r="A26" s="35"/>
      <c r="B26" s="36">
        <v>13306030110001</v>
      </c>
      <c r="C26" s="37" t="s">
        <v>67</v>
      </c>
      <c r="D26" s="37"/>
      <c r="E26" s="37"/>
      <c r="F26" s="37"/>
      <c r="G26" s="37"/>
      <c r="H26" s="38" t="s">
        <v>45</v>
      </c>
      <c r="I26" s="37"/>
      <c r="J26" s="33">
        <f>3435*0.2</f>
        <v>687</v>
      </c>
      <c r="K26" s="39"/>
    </row>
    <row r="27" ht="41" customHeight="1" spans="1:11">
      <c r="A27" s="40">
        <v>12</v>
      </c>
      <c r="B27" s="36">
        <v>13306030120000</v>
      </c>
      <c r="C27" s="37" t="s">
        <v>68</v>
      </c>
      <c r="D27" s="38" t="s">
        <v>69</v>
      </c>
      <c r="E27" s="37" t="s">
        <v>70</v>
      </c>
      <c r="F27" s="38" t="s">
        <v>71</v>
      </c>
      <c r="G27" s="37"/>
      <c r="H27" s="38" t="s">
        <v>45</v>
      </c>
      <c r="I27" s="38" t="s">
        <v>72</v>
      </c>
      <c r="J27" s="33">
        <v>2021</v>
      </c>
      <c r="K27" s="34" t="s">
        <v>19</v>
      </c>
    </row>
    <row r="28" ht="41" customHeight="1" spans="1:11">
      <c r="A28" s="29"/>
      <c r="B28" s="36">
        <v>13306030120001</v>
      </c>
      <c r="C28" s="37" t="s">
        <v>73</v>
      </c>
      <c r="D28" s="37"/>
      <c r="E28" s="37"/>
      <c r="F28" s="37"/>
      <c r="G28" s="37"/>
      <c r="H28" s="38" t="s">
        <v>45</v>
      </c>
      <c r="I28" s="37"/>
      <c r="J28" s="33">
        <f>2021*0.2</f>
        <v>404.2</v>
      </c>
      <c r="K28" s="39"/>
    </row>
    <row r="29" ht="41" customHeight="1" spans="1:11">
      <c r="A29" s="35"/>
      <c r="B29" s="36">
        <v>13306030120011</v>
      </c>
      <c r="C29" s="37" t="s">
        <v>74</v>
      </c>
      <c r="D29" s="37"/>
      <c r="E29" s="37"/>
      <c r="F29" s="37"/>
      <c r="G29" s="37"/>
      <c r="H29" s="38" t="s">
        <v>45</v>
      </c>
      <c r="I29" s="37"/>
      <c r="J29" s="33">
        <f>2021*0.15</f>
        <v>303.15</v>
      </c>
      <c r="K29" s="39"/>
    </row>
    <row r="30" ht="41" customHeight="1" spans="1:11">
      <c r="A30" s="40">
        <v>13</v>
      </c>
      <c r="B30" s="36">
        <v>13306030130000</v>
      </c>
      <c r="C30" s="37" t="s">
        <v>75</v>
      </c>
      <c r="D30" s="38" t="s">
        <v>76</v>
      </c>
      <c r="E30" s="37" t="s">
        <v>70</v>
      </c>
      <c r="F30" s="38" t="s">
        <v>71</v>
      </c>
      <c r="G30" s="37"/>
      <c r="H30" s="38" t="s">
        <v>45</v>
      </c>
      <c r="I30" s="37" t="s">
        <v>77</v>
      </c>
      <c r="J30" s="33">
        <v>3032</v>
      </c>
      <c r="K30" s="34" t="s">
        <v>19</v>
      </c>
    </row>
    <row r="31" ht="41" customHeight="1" spans="1:11">
      <c r="A31" s="29"/>
      <c r="B31" s="36">
        <v>13306030130001</v>
      </c>
      <c r="C31" s="37" t="s">
        <v>78</v>
      </c>
      <c r="D31" s="37"/>
      <c r="E31" s="37"/>
      <c r="F31" s="37"/>
      <c r="G31" s="37"/>
      <c r="H31" s="38" t="s">
        <v>45</v>
      </c>
      <c r="I31" s="37"/>
      <c r="J31" s="33">
        <f>3032*0.2</f>
        <v>606.4</v>
      </c>
      <c r="K31" s="39"/>
    </row>
    <row r="32" ht="41" customHeight="1" spans="1:11">
      <c r="A32" s="35"/>
      <c r="B32" s="36">
        <v>13306030130011</v>
      </c>
      <c r="C32" s="37" t="s">
        <v>79</v>
      </c>
      <c r="D32" s="37"/>
      <c r="E32" s="37"/>
      <c r="F32" s="37"/>
      <c r="G32" s="37"/>
      <c r="H32" s="38" t="s">
        <v>45</v>
      </c>
      <c r="I32" s="37"/>
      <c r="J32" s="33">
        <f>3032*0.15</f>
        <v>454.8</v>
      </c>
      <c r="K32" s="39"/>
    </row>
    <row r="33" ht="41" customHeight="1" spans="1:11">
      <c r="A33" s="40">
        <v>14</v>
      </c>
      <c r="B33" s="36">
        <v>13306030140000</v>
      </c>
      <c r="C33" s="38" t="s">
        <v>80</v>
      </c>
      <c r="D33" s="38" t="s">
        <v>81</v>
      </c>
      <c r="E33" s="38" t="s">
        <v>60</v>
      </c>
      <c r="F33" s="38" t="s">
        <v>71</v>
      </c>
      <c r="G33" s="37"/>
      <c r="H33" s="38" t="s">
        <v>17</v>
      </c>
      <c r="I33" s="37"/>
      <c r="J33" s="33">
        <v>1655</v>
      </c>
      <c r="K33" s="34" t="s">
        <v>19</v>
      </c>
    </row>
    <row r="34" ht="41" customHeight="1" spans="1:11">
      <c r="A34" s="29"/>
      <c r="B34" s="36">
        <v>13306030140001</v>
      </c>
      <c r="C34" s="37" t="s">
        <v>82</v>
      </c>
      <c r="D34" s="37"/>
      <c r="E34" s="37"/>
      <c r="F34" s="37"/>
      <c r="G34" s="37"/>
      <c r="H34" s="38" t="s">
        <v>17</v>
      </c>
      <c r="I34" s="37"/>
      <c r="J34" s="33">
        <f>1655*0.2</f>
        <v>331</v>
      </c>
      <c r="K34" s="39"/>
    </row>
    <row r="35" ht="41" customHeight="1" spans="1:11">
      <c r="A35" s="35"/>
      <c r="B35" s="36">
        <v>13306030140011</v>
      </c>
      <c r="C35" s="37" t="s">
        <v>83</v>
      </c>
      <c r="D35" s="37"/>
      <c r="E35" s="37"/>
      <c r="F35" s="37"/>
      <c r="G35" s="37"/>
      <c r="H35" s="38" t="s">
        <v>17</v>
      </c>
      <c r="I35" s="37"/>
      <c r="J35" s="33">
        <f>1655*0.15</f>
        <v>248.25</v>
      </c>
      <c r="K35" s="39"/>
    </row>
    <row r="36" ht="41" customHeight="1" spans="1:11">
      <c r="A36" s="40">
        <v>15</v>
      </c>
      <c r="B36" s="36">
        <v>13306030150000</v>
      </c>
      <c r="C36" s="38" t="s">
        <v>84</v>
      </c>
      <c r="D36" s="38" t="s">
        <v>85</v>
      </c>
      <c r="E36" s="38" t="s">
        <v>60</v>
      </c>
      <c r="F36" s="38" t="s">
        <v>71</v>
      </c>
      <c r="G36" s="37"/>
      <c r="H36" s="38" t="s">
        <v>17</v>
      </c>
      <c r="I36" s="37" t="s">
        <v>86</v>
      </c>
      <c r="J36" s="33">
        <v>2158</v>
      </c>
      <c r="K36" s="34" t="s">
        <v>19</v>
      </c>
    </row>
    <row r="37" ht="41" customHeight="1" spans="1:11">
      <c r="A37" s="29"/>
      <c r="B37" s="36">
        <v>13306030150001</v>
      </c>
      <c r="C37" s="37" t="s">
        <v>87</v>
      </c>
      <c r="D37" s="37"/>
      <c r="E37" s="37"/>
      <c r="F37" s="37"/>
      <c r="G37" s="37"/>
      <c r="H37" s="38" t="s">
        <v>17</v>
      </c>
      <c r="I37" s="37"/>
      <c r="J37" s="33">
        <f>2158*0.2</f>
        <v>431.6</v>
      </c>
      <c r="K37" s="39"/>
    </row>
    <row r="38" ht="41" customHeight="1" spans="1:11">
      <c r="A38" s="35"/>
      <c r="B38" s="36">
        <v>13306030150011</v>
      </c>
      <c r="C38" s="37" t="s">
        <v>88</v>
      </c>
      <c r="D38" s="37"/>
      <c r="E38" s="37"/>
      <c r="F38" s="37"/>
      <c r="G38" s="37"/>
      <c r="H38" s="38" t="s">
        <v>17</v>
      </c>
      <c r="I38" s="37"/>
      <c r="J38" s="33">
        <f>2158*0.15</f>
        <v>323.7</v>
      </c>
      <c r="K38" s="39"/>
    </row>
    <row r="39" ht="41" customHeight="1" spans="1:11">
      <c r="A39" s="40">
        <v>16</v>
      </c>
      <c r="B39" s="36">
        <v>13306030160000</v>
      </c>
      <c r="C39" s="38" t="s">
        <v>89</v>
      </c>
      <c r="D39" s="38" t="s">
        <v>90</v>
      </c>
      <c r="E39" s="38" t="s">
        <v>60</v>
      </c>
      <c r="F39" s="37"/>
      <c r="G39" s="37"/>
      <c r="H39" s="38" t="s">
        <v>17</v>
      </c>
      <c r="I39" s="37"/>
      <c r="J39" s="33">
        <v>2039</v>
      </c>
      <c r="K39" s="34" t="s">
        <v>19</v>
      </c>
    </row>
    <row r="40" ht="41" customHeight="1" spans="1:11">
      <c r="A40" s="35"/>
      <c r="B40" s="36">
        <v>13306030160001</v>
      </c>
      <c r="C40" s="37" t="s">
        <v>91</v>
      </c>
      <c r="D40" s="37"/>
      <c r="E40" s="37"/>
      <c r="F40" s="37"/>
      <c r="G40" s="37"/>
      <c r="H40" s="38" t="s">
        <v>17</v>
      </c>
      <c r="I40" s="37"/>
      <c r="J40" s="33">
        <f>2039*0.2</f>
        <v>407.8</v>
      </c>
      <c r="K40" s="39"/>
    </row>
    <row r="41" ht="41" customHeight="1" spans="1:11">
      <c r="A41" s="40">
        <v>17</v>
      </c>
      <c r="B41" s="36">
        <v>13306030170000</v>
      </c>
      <c r="C41" s="38" t="s">
        <v>92</v>
      </c>
      <c r="D41" s="37" t="s">
        <v>93</v>
      </c>
      <c r="E41" s="37" t="s">
        <v>60</v>
      </c>
      <c r="F41" s="37"/>
      <c r="G41" s="37"/>
      <c r="H41" s="38" t="s">
        <v>17</v>
      </c>
      <c r="I41" s="38" t="s">
        <v>94</v>
      </c>
      <c r="J41" s="33">
        <v>2650</v>
      </c>
      <c r="K41" s="34" t="s">
        <v>19</v>
      </c>
    </row>
    <row r="42" ht="41" customHeight="1" spans="1:11">
      <c r="A42" s="35"/>
      <c r="B42" s="36">
        <v>13306030170001</v>
      </c>
      <c r="C42" s="37" t="s">
        <v>95</v>
      </c>
      <c r="D42" s="37"/>
      <c r="E42" s="37"/>
      <c r="F42" s="37"/>
      <c r="G42" s="37"/>
      <c r="H42" s="38" t="s">
        <v>17</v>
      </c>
      <c r="I42" s="37"/>
      <c r="J42" s="33">
        <f>2650*0.2</f>
        <v>530</v>
      </c>
      <c r="K42" s="39"/>
    </row>
    <row r="43" ht="41" customHeight="1" spans="1:11">
      <c r="A43" s="40">
        <v>18</v>
      </c>
      <c r="B43" s="36">
        <v>13306030180000</v>
      </c>
      <c r="C43" s="38" t="s">
        <v>96</v>
      </c>
      <c r="D43" s="37" t="s">
        <v>97</v>
      </c>
      <c r="E43" s="38" t="s">
        <v>98</v>
      </c>
      <c r="F43" s="37"/>
      <c r="G43" s="37"/>
      <c r="H43" s="38" t="s">
        <v>35</v>
      </c>
      <c r="I43" s="37" t="s">
        <v>99</v>
      </c>
      <c r="J43" s="33">
        <v>1003</v>
      </c>
      <c r="K43" s="34" t="s">
        <v>19</v>
      </c>
    </row>
    <row r="44" ht="41" customHeight="1" spans="1:11">
      <c r="A44" s="35"/>
      <c r="B44" s="36">
        <v>13306030180001</v>
      </c>
      <c r="C44" s="37" t="s">
        <v>100</v>
      </c>
      <c r="D44" s="37"/>
      <c r="E44" s="37"/>
      <c r="F44" s="37"/>
      <c r="G44" s="37"/>
      <c r="H44" s="38" t="s">
        <v>35</v>
      </c>
      <c r="I44" s="37"/>
      <c r="J44" s="33">
        <f>1003*0.2</f>
        <v>200.6</v>
      </c>
      <c r="K44" s="39"/>
    </row>
    <row r="45" ht="41" customHeight="1" spans="1:11">
      <c r="A45" s="40">
        <v>19</v>
      </c>
      <c r="B45" s="36">
        <v>13306030190000</v>
      </c>
      <c r="C45" s="37" t="s">
        <v>101</v>
      </c>
      <c r="D45" s="37" t="s">
        <v>102</v>
      </c>
      <c r="E45" s="38" t="s">
        <v>103</v>
      </c>
      <c r="F45" s="37"/>
      <c r="G45" s="37"/>
      <c r="H45" s="38" t="s">
        <v>45</v>
      </c>
      <c r="I45" s="38" t="s">
        <v>104</v>
      </c>
      <c r="J45" s="33">
        <v>1265</v>
      </c>
      <c r="K45" s="34" t="s">
        <v>19</v>
      </c>
    </row>
    <row r="46" ht="41" customHeight="1" spans="1:11">
      <c r="A46" s="35"/>
      <c r="B46" s="36">
        <v>13306030190001</v>
      </c>
      <c r="C46" s="37" t="s">
        <v>105</v>
      </c>
      <c r="D46" s="37"/>
      <c r="E46" s="37"/>
      <c r="F46" s="37"/>
      <c r="G46" s="37"/>
      <c r="H46" s="38" t="s">
        <v>45</v>
      </c>
      <c r="I46" s="37"/>
      <c r="J46" s="33">
        <f>1265*0.2</f>
        <v>253</v>
      </c>
      <c r="K46" s="39"/>
    </row>
    <row r="47" ht="41" customHeight="1" spans="1:11">
      <c r="A47" s="40">
        <v>20</v>
      </c>
      <c r="B47" s="36">
        <v>13306030200000</v>
      </c>
      <c r="C47" s="37" t="s">
        <v>106</v>
      </c>
      <c r="D47" s="38" t="s">
        <v>107</v>
      </c>
      <c r="E47" s="38" t="s">
        <v>108</v>
      </c>
      <c r="F47" s="37"/>
      <c r="G47" s="37"/>
      <c r="H47" s="38" t="s">
        <v>45</v>
      </c>
      <c r="I47" s="37" t="s">
        <v>109</v>
      </c>
      <c r="J47" s="41">
        <v>1958</v>
      </c>
      <c r="K47" s="34" t="s">
        <v>19</v>
      </c>
    </row>
    <row r="48" ht="41" customHeight="1" spans="1:11">
      <c r="A48" s="35"/>
      <c r="B48" s="36">
        <v>13306030200001</v>
      </c>
      <c r="C48" s="37" t="s">
        <v>110</v>
      </c>
      <c r="D48" s="37"/>
      <c r="E48" s="37"/>
      <c r="F48" s="37"/>
      <c r="G48" s="37"/>
      <c r="H48" s="38" t="s">
        <v>45</v>
      </c>
      <c r="I48" s="37"/>
      <c r="J48" s="33">
        <f>1958*0.2</f>
        <v>391.6</v>
      </c>
      <c r="K48" s="39"/>
    </row>
    <row r="49" ht="41" customHeight="1" spans="1:11">
      <c r="A49" s="40">
        <v>21</v>
      </c>
      <c r="B49" s="36">
        <v>13306030210000</v>
      </c>
      <c r="C49" s="38" t="s">
        <v>111</v>
      </c>
      <c r="D49" s="38" t="s">
        <v>112</v>
      </c>
      <c r="E49" s="37" t="s">
        <v>108</v>
      </c>
      <c r="F49" s="38" t="s">
        <v>71</v>
      </c>
      <c r="G49" s="37"/>
      <c r="H49" s="38" t="s">
        <v>17</v>
      </c>
      <c r="I49" s="37"/>
      <c r="J49" s="33">
        <v>1949</v>
      </c>
      <c r="K49" s="34" t="s">
        <v>19</v>
      </c>
    </row>
    <row r="50" ht="41" customHeight="1" spans="1:11">
      <c r="A50" s="29"/>
      <c r="B50" s="36">
        <v>13306030210001</v>
      </c>
      <c r="C50" s="37" t="s">
        <v>113</v>
      </c>
      <c r="D50" s="37"/>
      <c r="E50" s="37"/>
      <c r="F50" s="37"/>
      <c r="G50" s="37"/>
      <c r="H50" s="38" t="s">
        <v>17</v>
      </c>
      <c r="I50" s="37"/>
      <c r="J50" s="33">
        <f>1949*0.2</f>
        <v>389.8</v>
      </c>
      <c r="K50" s="39"/>
    </row>
    <row r="51" ht="41" customHeight="1" spans="1:11">
      <c r="A51" s="35"/>
      <c r="B51" s="36">
        <v>13306030210011</v>
      </c>
      <c r="C51" s="37" t="s">
        <v>114</v>
      </c>
      <c r="D51" s="37"/>
      <c r="E51" s="37"/>
      <c r="F51" s="37"/>
      <c r="G51" s="37"/>
      <c r="H51" s="38" t="s">
        <v>17</v>
      </c>
      <c r="I51" s="37"/>
      <c r="J51" s="33">
        <f>1949*0.15</f>
        <v>292.35</v>
      </c>
      <c r="K51" s="39"/>
    </row>
    <row r="52" ht="41" customHeight="1" spans="1:11">
      <c r="A52" s="40">
        <v>22</v>
      </c>
      <c r="B52" s="36">
        <v>13306030220000</v>
      </c>
      <c r="C52" s="38" t="s">
        <v>115</v>
      </c>
      <c r="D52" s="38" t="s">
        <v>116</v>
      </c>
      <c r="E52" s="38" t="s">
        <v>108</v>
      </c>
      <c r="F52" s="38" t="s">
        <v>71</v>
      </c>
      <c r="G52" s="37"/>
      <c r="H52" s="38" t="s">
        <v>17</v>
      </c>
      <c r="I52" s="37" t="s">
        <v>117</v>
      </c>
      <c r="J52" s="33">
        <v>2549</v>
      </c>
      <c r="K52" s="34" t="s">
        <v>19</v>
      </c>
    </row>
    <row r="53" ht="41" customHeight="1" spans="1:11">
      <c r="A53" s="29"/>
      <c r="B53" s="36">
        <v>13306030220001</v>
      </c>
      <c r="C53" s="38" t="s">
        <v>118</v>
      </c>
      <c r="D53" s="37"/>
      <c r="E53" s="37"/>
      <c r="F53" s="37"/>
      <c r="G53" s="37"/>
      <c r="H53" s="38" t="s">
        <v>17</v>
      </c>
      <c r="I53" s="37"/>
      <c r="J53" s="33">
        <f>2549*0.2</f>
        <v>509.8</v>
      </c>
      <c r="K53" s="39"/>
    </row>
    <row r="54" ht="41" customHeight="1" spans="1:11">
      <c r="A54" s="35"/>
      <c r="B54" s="36">
        <v>13306030220011</v>
      </c>
      <c r="C54" s="37" t="s">
        <v>119</v>
      </c>
      <c r="D54" s="37"/>
      <c r="E54" s="37"/>
      <c r="F54" s="37"/>
      <c r="G54" s="37"/>
      <c r="H54" s="38" t="s">
        <v>17</v>
      </c>
      <c r="I54" s="37"/>
      <c r="J54" s="33">
        <f>2549*0.15</f>
        <v>382.35</v>
      </c>
      <c r="K54" s="39"/>
    </row>
    <row r="55" ht="41" customHeight="1" spans="1:11">
      <c r="A55" s="40">
        <v>23</v>
      </c>
      <c r="B55" s="36">
        <v>13306030230000</v>
      </c>
      <c r="C55" s="37" t="s">
        <v>120</v>
      </c>
      <c r="D55" s="38" t="s">
        <v>121</v>
      </c>
      <c r="E55" s="38" t="s">
        <v>108</v>
      </c>
      <c r="F55" s="38" t="s">
        <v>71</v>
      </c>
      <c r="G55" s="37" t="s">
        <v>122</v>
      </c>
      <c r="H55" s="38" t="s">
        <v>17</v>
      </c>
      <c r="I55" s="38" t="s">
        <v>18</v>
      </c>
      <c r="J55" s="33">
        <v>2101</v>
      </c>
      <c r="K55" s="34" t="s">
        <v>19</v>
      </c>
    </row>
    <row r="56" ht="41" customHeight="1" spans="1:11">
      <c r="A56" s="29"/>
      <c r="B56" s="36">
        <v>13306030230001</v>
      </c>
      <c r="C56" s="37" t="s">
        <v>123</v>
      </c>
      <c r="D56" s="37"/>
      <c r="E56" s="37"/>
      <c r="F56" s="37"/>
      <c r="G56" s="37"/>
      <c r="H56" s="38" t="s">
        <v>17</v>
      </c>
      <c r="I56" s="37"/>
      <c r="J56" s="33">
        <f>2101*0.2</f>
        <v>420.2</v>
      </c>
      <c r="K56" s="39"/>
    </row>
    <row r="57" ht="41" customHeight="1" spans="1:11">
      <c r="A57" s="29"/>
      <c r="B57" s="36">
        <v>13306030230011</v>
      </c>
      <c r="C57" s="37" t="s">
        <v>124</v>
      </c>
      <c r="D57" s="37"/>
      <c r="E57" s="37"/>
      <c r="F57" s="37"/>
      <c r="G57" s="37"/>
      <c r="H57" s="38" t="s">
        <v>17</v>
      </c>
      <c r="I57" s="37"/>
      <c r="J57" s="33">
        <f>2101*0.15</f>
        <v>315.15</v>
      </c>
      <c r="K57" s="39"/>
    </row>
    <row r="58" ht="41" customHeight="1" spans="1:11">
      <c r="A58" s="29"/>
      <c r="B58" s="36">
        <v>13306030230100</v>
      </c>
      <c r="C58" s="37" t="s">
        <v>125</v>
      </c>
      <c r="D58" s="37"/>
      <c r="E58" s="37"/>
      <c r="F58" s="37"/>
      <c r="G58" s="37"/>
      <c r="H58" s="38" t="s">
        <v>17</v>
      </c>
      <c r="I58" s="37"/>
      <c r="J58" s="33">
        <v>2101</v>
      </c>
      <c r="K58" s="34" t="s">
        <v>19</v>
      </c>
    </row>
    <row r="59" ht="41" customHeight="1" spans="1:11">
      <c r="A59" s="35"/>
      <c r="B59" s="36">
        <v>13306030231100</v>
      </c>
      <c r="C59" s="37" t="s">
        <v>126</v>
      </c>
      <c r="D59" s="37"/>
      <c r="E59" s="37"/>
      <c r="F59" s="37"/>
      <c r="G59" s="37"/>
      <c r="H59" s="38" t="s">
        <v>17</v>
      </c>
      <c r="I59" s="37"/>
      <c r="J59" s="33">
        <v>2101</v>
      </c>
      <c r="K59" s="34" t="s">
        <v>19</v>
      </c>
    </row>
    <row r="60" ht="41" customHeight="1" spans="1:11">
      <c r="A60" s="40">
        <v>24</v>
      </c>
      <c r="B60" s="36">
        <v>13306030240000</v>
      </c>
      <c r="C60" s="37" t="s">
        <v>127</v>
      </c>
      <c r="D60" s="38" t="s">
        <v>128</v>
      </c>
      <c r="E60" s="38" t="s">
        <v>108</v>
      </c>
      <c r="F60" s="38" t="s">
        <v>71</v>
      </c>
      <c r="G60" s="37" t="s">
        <v>122</v>
      </c>
      <c r="H60" s="38" t="s">
        <v>17</v>
      </c>
      <c r="I60" s="38" t="s">
        <v>129</v>
      </c>
      <c r="J60" s="33">
        <v>4420</v>
      </c>
      <c r="K60" s="34" t="s">
        <v>19</v>
      </c>
    </row>
    <row r="61" ht="41" customHeight="1" spans="1:11">
      <c r="A61" s="29"/>
      <c r="B61" s="36">
        <v>13306030240001</v>
      </c>
      <c r="C61" s="37" t="s">
        <v>130</v>
      </c>
      <c r="D61" s="37"/>
      <c r="E61" s="37"/>
      <c r="F61" s="37"/>
      <c r="G61" s="37"/>
      <c r="H61" s="38" t="s">
        <v>17</v>
      </c>
      <c r="I61" s="37"/>
      <c r="J61" s="33">
        <f>4420*0.2</f>
        <v>884</v>
      </c>
      <c r="K61" s="42"/>
    </row>
    <row r="62" s="21" customFormat="1" ht="41" customHeight="1" spans="1:11">
      <c r="A62" s="43"/>
      <c r="B62" s="44">
        <v>13306030240011</v>
      </c>
      <c r="C62" s="45" t="s">
        <v>131</v>
      </c>
      <c r="D62" s="45"/>
      <c r="E62" s="45"/>
      <c r="F62" s="45"/>
      <c r="G62" s="45"/>
      <c r="H62" s="46" t="s">
        <v>17</v>
      </c>
      <c r="I62" s="45"/>
      <c r="J62" s="47">
        <f>4420*0.15</f>
        <v>663</v>
      </c>
      <c r="K62" s="48"/>
    </row>
    <row r="63" ht="41" customHeight="1" spans="1:11">
      <c r="A63" s="29"/>
      <c r="B63" s="36">
        <v>13306030240100</v>
      </c>
      <c r="C63" s="37" t="s">
        <v>132</v>
      </c>
      <c r="D63" s="37"/>
      <c r="E63" s="37"/>
      <c r="F63" s="37"/>
      <c r="G63" s="37"/>
      <c r="H63" s="38" t="s">
        <v>17</v>
      </c>
      <c r="I63" s="37"/>
      <c r="J63" s="33">
        <v>4420</v>
      </c>
      <c r="K63" s="34" t="s">
        <v>19</v>
      </c>
    </row>
    <row r="64" ht="41" customHeight="1" spans="1:11">
      <c r="A64" s="35"/>
      <c r="B64" s="36">
        <v>13306030241100</v>
      </c>
      <c r="C64" s="37" t="s">
        <v>133</v>
      </c>
      <c r="D64" s="37"/>
      <c r="E64" s="37"/>
      <c r="F64" s="37"/>
      <c r="G64" s="37"/>
      <c r="H64" s="38" t="s">
        <v>17</v>
      </c>
      <c r="I64" s="37"/>
      <c r="J64" s="33">
        <v>4420</v>
      </c>
      <c r="K64" s="34" t="s">
        <v>19</v>
      </c>
    </row>
    <row r="65" ht="41" customHeight="1" spans="1:11">
      <c r="A65" s="40">
        <v>25</v>
      </c>
      <c r="B65" s="36">
        <v>13306030250000</v>
      </c>
      <c r="C65" s="38" t="s">
        <v>134</v>
      </c>
      <c r="D65" s="38" t="s">
        <v>135</v>
      </c>
      <c r="E65" s="37" t="s">
        <v>136</v>
      </c>
      <c r="F65" s="38" t="s">
        <v>71</v>
      </c>
      <c r="G65" s="37"/>
      <c r="H65" s="38" t="s">
        <v>17</v>
      </c>
      <c r="I65" s="37"/>
      <c r="J65" s="33">
        <v>1369</v>
      </c>
      <c r="K65" s="34" t="s">
        <v>19</v>
      </c>
    </row>
    <row r="66" ht="41" customHeight="1" spans="1:11">
      <c r="A66" s="29"/>
      <c r="B66" s="36">
        <v>13306030250001</v>
      </c>
      <c r="C66" s="37" t="s">
        <v>137</v>
      </c>
      <c r="D66" s="37"/>
      <c r="E66" s="37"/>
      <c r="F66" s="37"/>
      <c r="G66" s="37"/>
      <c r="H66" s="38" t="s">
        <v>17</v>
      </c>
      <c r="I66" s="37"/>
      <c r="J66" s="33">
        <f>1369*0.2</f>
        <v>273.8</v>
      </c>
      <c r="K66" s="39"/>
    </row>
    <row r="67" ht="41" customHeight="1" spans="1:11">
      <c r="A67" s="35"/>
      <c r="B67" s="36">
        <v>13306030250011</v>
      </c>
      <c r="C67" s="37" t="s">
        <v>138</v>
      </c>
      <c r="D67" s="37"/>
      <c r="E67" s="37"/>
      <c r="F67" s="37"/>
      <c r="G67" s="37"/>
      <c r="H67" s="38" t="s">
        <v>17</v>
      </c>
      <c r="I67" s="37"/>
      <c r="J67" s="33">
        <f>1369*0.15</f>
        <v>205.35</v>
      </c>
      <c r="K67" s="39"/>
    </row>
    <row r="68" ht="41" customHeight="1" spans="1:11">
      <c r="A68" s="40">
        <v>26</v>
      </c>
      <c r="B68" s="36">
        <v>13306030260000</v>
      </c>
      <c r="C68" s="38" t="s">
        <v>139</v>
      </c>
      <c r="D68" s="38" t="s">
        <v>140</v>
      </c>
      <c r="E68" s="37" t="s">
        <v>136</v>
      </c>
      <c r="F68" s="38" t="s">
        <v>71</v>
      </c>
      <c r="G68" s="37"/>
      <c r="H68" s="38" t="s">
        <v>17</v>
      </c>
      <c r="I68" s="38" t="s">
        <v>141</v>
      </c>
      <c r="J68" s="33">
        <v>1669</v>
      </c>
      <c r="K68" s="34" t="s">
        <v>19</v>
      </c>
    </row>
    <row r="69" ht="41" customHeight="1" spans="1:11">
      <c r="A69" s="29"/>
      <c r="B69" s="36">
        <v>13306030260001</v>
      </c>
      <c r="C69" s="37" t="s">
        <v>142</v>
      </c>
      <c r="D69" s="37"/>
      <c r="E69" s="37"/>
      <c r="F69" s="37"/>
      <c r="G69" s="37"/>
      <c r="H69" s="38" t="s">
        <v>17</v>
      </c>
      <c r="I69" s="37"/>
      <c r="J69" s="33">
        <f>1669*0.2</f>
        <v>333.8</v>
      </c>
      <c r="K69" s="39"/>
    </row>
    <row r="70" ht="41" customHeight="1" spans="1:11">
      <c r="A70" s="35"/>
      <c r="B70" s="36">
        <v>13306030260011</v>
      </c>
      <c r="C70" s="37" t="s">
        <v>143</v>
      </c>
      <c r="D70" s="37"/>
      <c r="E70" s="37"/>
      <c r="F70" s="37"/>
      <c r="G70" s="37"/>
      <c r="H70" s="38" t="s">
        <v>17</v>
      </c>
      <c r="I70" s="37"/>
      <c r="J70" s="33">
        <f>1669*0.15</f>
        <v>250.35</v>
      </c>
      <c r="K70" s="39"/>
    </row>
    <row r="71" ht="41" customHeight="1" spans="1:11">
      <c r="A71" s="40">
        <v>27</v>
      </c>
      <c r="B71" s="36">
        <v>13306030270000</v>
      </c>
      <c r="C71" s="38" t="s">
        <v>144</v>
      </c>
      <c r="D71" s="38" t="s">
        <v>145</v>
      </c>
      <c r="E71" s="37" t="s">
        <v>108</v>
      </c>
      <c r="F71" s="37" t="s">
        <v>146</v>
      </c>
      <c r="G71" s="37"/>
      <c r="H71" s="38" t="s">
        <v>35</v>
      </c>
      <c r="I71" s="38" t="s">
        <v>147</v>
      </c>
      <c r="J71" s="33">
        <v>5095</v>
      </c>
      <c r="K71" s="34" t="s">
        <v>19</v>
      </c>
    </row>
    <row r="72" ht="41" customHeight="1" spans="1:11">
      <c r="A72" s="29"/>
      <c r="B72" s="36">
        <v>13306030270001</v>
      </c>
      <c r="C72" s="38" t="s">
        <v>148</v>
      </c>
      <c r="D72" s="37"/>
      <c r="E72" s="37"/>
      <c r="F72" s="37"/>
      <c r="G72" s="37"/>
      <c r="H72" s="38" t="s">
        <v>35</v>
      </c>
      <c r="I72" s="37"/>
      <c r="J72" s="33">
        <f>5095*0.2</f>
        <v>1019</v>
      </c>
      <c r="K72" s="42"/>
    </row>
    <row r="73" ht="41" customHeight="1" spans="1:11">
      <c r="A73" s="29"/>
      <c r="B73" s="36">
        <v>13306030270011</v>
      </c>
      <c r="C73" s="37" t="s">
        <v>149</v>
      </c>
      <c r="D73" s="37"/>
      <c r="E73" s="37"/>
      <c r="F73" s="37"/>
      <c r="G73" s="37"/>
      <c r="H73" s="38" t="s">
        <v>35</v>
      </c>
      <c r="I73" s="37"/>
      <c r="J73" s="33">
        <f>5095*0.2</f>
        <v>1019</v>
      </c>
      <c r="K73" s="42"/>
    </row>
    <row r="74" ht="41" customHeight="1" spans="1:11">
      <c r="A74" s="35"/>
      <c r="B74" s="36">
        <v>13306030270021</v>
      </c>
      <c r="C74" s="37" t="s">
        <v>150</v>
      </c>
      <c r="D74" s="37"/>
      <c r="E74" s="37"/>
      <c r="F74" s="37"/>
      <c r="G74" s="37"/>
      <c r="H74" s="38" t="s">
        <v>35</v>
      </c>
      <c r="I74" s="37"/>
      <c r="J74" s="33">
        <f>5095*0.15</f>
        <v>764.25</v>
      </c>
      <c r="K74" s="42"/>
    </row>
    <row r="75" ht="41" customHeight="1" spans="1:11">
      <c r="A75" s="40">
        <v>28</v>
      </c>
      <c r="B75" s="36">
        <v>13306030280000</v>
      </c>
      <c r="C75" s="38" t="s">
        <v>151</v>
      </c>
      <c r="D75" s="37" t="s">
        <v>152</v>
      </c>
      <c r="E75" s="37" t="s">
        <v>153</v>
      </c>
      <c r="F75" s="38" t="s">
        <v>154</v>
      </c>
      <c r="G75" s="37"/>
      <c r="H75" s="38" t="s">
        <v>17</v>
      </c>
      <c r="I75" s="38" t="s">
        <v>18</v>
      </c>
      <c r="J75" s="33">
        <v>2618</v>
      </c>
      <c r="K75" s="34" t="s">
        <v>19</v>
      </c>
    </row>
    <row r="76" ht="41" customHeight="1" spans="1:11">
      <c r="A76" s="29"/>
      <c r="B76" s="36">
        <v>13306030280001</v>
      </c>
      <c r="C76" s="38" t="s">
        <v>155</v>
      </c>
      <c r="D76" s="37"/>
      <c r="E76" s="37"/>
      <c r="F76" s="37"/>
      <c r="G76" s="37"/>
      <c r="H76" s="38" t="s">
        <v>17</v>
      </c>
      <c r="I76" s="37"/>
      <c r="J76" s="33">
        <f>2618*0.2</f>
        <v>523.6</v>
      </c>
      <c r="K76" s="39"/>
    </row>
    <row r="77" ht="41" customHeight="1" spans="1:11">
      <c r="A77" s="35"/>
      <c r="B77" s="36">
        <v>13306030280011</v>
      </c>
      <c r="C77" s="37" t="s">
        <v>156</v>
      </c>
      <c r="D77" s="37"/>
      <c r="E77" s="37"/>
      <c r="F77" s="37"/>
      <c r="G77" s="37"/>
      <c r="H77" s="38" t="s">
        <v>17</v>
      </c>
      <c r="I77" s="37"/>
      <c r="J77" s="33">
        <f>2618*0.2</f>
        <v>523.6</v>
      </c>
      <c r="K77" s="39"/>
    </row>
    <row r="78" ht="41" customHeight="1" spans="1:11">
      <c r="A78" s="40">
        <v>29</v>
      </c>
      <c r="B78" s="36">
        <v>13306030290000</v>
      </c>
      <c r="C78" s="38" t="s">
        <v>157</v>
      </c>
      <c r="D78" s="38" t="s">
        <v>158</v>
      </c>
      <c r="E78" s="38" t="s">
        <v>159</v>
      </c>
      <c r="F78" s="37"/>
      <c r="G78" s="37"/>
      <c r="H78" s="38" t="s">
        <v>17</v>
      </c>
      <c r="I78" s="37"/>
      <c r="J78" s="33">
        <v>4056</v>
      </c>
      <c r="K78" s="34" t="s">
        <v>19</v>
      </c>
    </row>
    <row r="79" ht="41" customHeight="1" spans="1:11">
      <c r="A79" s="35"/>
      <c r="B79" s="38" t="s">
        <v>160</v>
      </c>
      <c r="C79" s="38" t="s">
        <v>161</v>
      </c>
      <c r="D79" s="38" t="s">
        <v>162</v>
      </c>
      <c r="E79" s="38" t="s">
        <v>163</v>
      </c>
      <c r="F79" s="37"/>
      <c r="G79" s="37"/>
      <c r="H79" s="38" t="s">
        <v>17</v>
      </c>
      <c r="I79" s="37"/>
      <c r="J79" s="33">
        <f>4056*0.2</f>
        <v>811.2</v>
      </c>
      <c r="K79" s="39"/>
    </row>
    <row r="80" ht="41" customHeight="1" spans="1:11">
      <c r="A80" s="40">
        <v>30</v>
      </c>
      <c r="B80" s="36">
        <v>13306030300000</v>
      </c>
      <c r="C80" s="38" t="s">
        <v>164</v>
      </c>
      <c r="D80" s="37" t="s">
        <v>165</v>
      </c>
      <c r="E80" s="37" t="s">
        <v>153</v>
      </c>
      <c r="F80" s="37"/>
      <c r="G80" s="37"/>
      <c r="H80" s="38" t="s">
        <v>17</v>
      </c>
      <c r="I80" s="38" t="s">
        <v>18</v>
      </c>
      <c r="J80" s="33">
        <v>2568</v>
      </c>
      <c r="K80" s="34" t="s">
        <v>19</v>
      </c>
    </row>
    <row r="81" ht="41" customHeight="1" spans="1:11">
      <c r="A81" s="29"/>
      <c r="B81" s="36">
        <v>13306030300001</v>
      </c>
      <c r="C81" s="38" t="s">
        <v>166</v>
      </c>
      <c r="D81" s="37"/>
      <c r="E81" s="37"/>
      <c r="F81" s="37"/>
      <c r="G81" s="37"/>
      <c r="H81" s="38" t="s">
        <v>17</v>
      </c>
      <c r="I81" s="37"/>
      <c r="J81" s="33">
        <f>2568*0.2</f>
        <v>513.6</v>
      </c>
      <c r="K81" s="39"/>
    </row>
    <row r="82" ht="41" customHeight="1" spans="1:11">
      <c r="A82" s="35"/>
      <c r="B82" s="36">
        <v>13306030300011</v>
      </c>
      <c r="C82" s="38" t="s">
        <v>167</v>
      </c>
      <c r="D82" s="37"/>
      <c r="E82" s="37"/>
      <c r="F82" s="37"/>
      <c r="G82" s="37"/>
      <c r="H82" s="38" t="s">
        <v>17</v>
      </c>
      <c r="I82" s="37"/>
      <c r="J82" s="33">
        <f>2568*0.2</f>
        <v>513.6</v>
      </c>
      <c r="K82" s="39"/>
    </row>
    <row r="83" ht="41" customHeight="1" spans="1:11">
      <c r="A83" s="40">
        <v>31</v>
      </c>
      <c r="B83" s="36">
        <v>13306030310000</v>
      </c>
      <c r="C83" s="38" t="s">
        <v>168</v>
      </c>
      <c r="D83" s="38" t="s">
        <v>169</v>
      </c>
      <c r="E83" s="37" t="s">
        <v>153</v>
      </c>
      <c r="F83" s="37"/>
      <c r="G83" s="37"/>
      <c r="H83" s="38" t="s">
        <v>17</v>
      </c>
      <c r="I83" s="37"/>
      <c r="J83" s="33">
        <v>4437</v>
      </c>
      <c r="K83" s="34" t="s">
        <v>19</v>
      </c>
    </row>
    <row r="84" ht="41" customHeight="1" spans="1:11">
      <c r="A84" s="35"/>
      <c r="B84" s="36">
        <v>13306030310001</v>
      </c>
      <c r="C84" s="38" t="s">
        <v>170</v>
      </c>
      <c r="D84" s="37"/>
      <c r="E84" s="37"/>
      <c r="F84" s="37"/>
      <c r="G84" s="37"/>
      <c r="H84" s="38" t="s">
        <v>17</v>
      </c>
      <c r="I84" s="37"/>
      <c r="J84" s="33">
        <f>4437*0.2</f>
        <v>887.4</v>
      </c>
      <c r="K84" s="39"/>
    </row>
    <row r="85" ht="41" customHeight="1" spans="1:11">
      <c r="A85" s="40">
        <v>32</v>
      </c>
      <c r="B85" s="36">
        <v>13306030320000</v>
      </c>
      <c r="C85" s="38" t="s">
        <v>171</v>
      </c>
      <c r="D85" s="38" t="s">
        <v>172</v>
      </c>
      <c r="E85" s="37" t="s">
        <v>153</v>
      </c>
      <c r="F85" s="38" t="s">
        <v>154</v>
      </c>
      <c r="G85" s="37"/>
      <c r="H85" s="38" t="s">
        <v>17</v>
      </c>
      <c r="I85" s="37"/>
      <c r="J85" s="33">
        <v>3420</v>
      </c>
      <c r="K85" s="34" t="s">
        <v>40</v>
      </c>
    </row>
    <row r="86" ht="41" customHeight="1" spans="1:11">
      <c r="A86" s="29"/>
      <c r="B86" s="36">
        <v>13306030320001</v>
      </c>
      <c r="C86" s="38" t="s">
        <v>173</v>
      </c>
      <c r="D86" s="37"/>
      <c r="E86" s="37"/>
      <c r="F86" s="37"/>
      <c r="G86" s="37"/>
      <c r="H86" s="38" t="s">
        <v>17</v>
      </c>
      <c r="I86" s="37"/>
      <c r="J86" s="33">
        <f>3420*0.2</f>
        <v>684</v>
      </c>
      <c r="K86" s="39"/>
    </row>
    <row r="87" ht="41" customHeight="1" spans="1:11">
      <c r="A87" s="35"/>
      <c r="B87" s="36">
        <v>13306030320011</v>
      </c>
      <c r="C87" s="37" t="s">
        <v>174</v>
      </c>
      <c r="D87" s="37"/>
      <c r="E87" s="37"/>
      <c r="F87" s="37"/>
      <c r="G87" s="37"/>
      <c r="H87" s="38" t="s">
        <v>17</v>
      </c>
      <c r="I87" s="37"/>
      <c r="J87" s="33">
        <f>3420*0.2</f>
        <v>684</v>
      </c>
      <c r="K87" s="39"/>
    </row>
    <row r="88" ht="41" customHeight="1" spans="1:11">
      <c r="A88" s="40">
        <v>33</v>
      </c>
      <c r="B88" s="36">
        <v>13306030330000</v>
      </c>
      <c r="C88" s="38" t="s">
        <v>175</v>
      </c>
      <c r="D88" s="38" t="s">
        <v>176</v>
      </c>
      <c r="E88" s="37" t="s">
        <v>153</v>
      </c>
      <c r="F88" s="37"/>
      <c r="G88" s="37"/>
      <c r="H88" s="38" t="s">
        <v>177</v>
      </c>
      <c r="I88" s="37"/>
      <c r="J88" s="33">
        <v>1809</v>
      </c>
      <c r="K88" s="34" t="s">
        <v>19</v>
      </c>
    </row>
    <row r="89" ht="41" customHeight="1" spans="1:11">
      <c r="A89" s="35"/>
      <c r="B89" s="36">
        <v>13306030330001</v>
      </c>
      <c r="C89" s="38" t="s">
        <v>178</v>
      </c>
      <c r="D89" s="37"/>
      <c r="E89" s="37"/>
      <c r="F89" s="37"/>
      <c r="G89" s="37"/>
      <c r="H89" s="38" t="s">
        <v>177</v>
      </c>
      <c r="I89" s="37"/>
      <c r="J89" s="33">
        <f>1809*0.2</f>
        <v>361.8</v>
      </c>
      <c r="K89" s="39"/>
    </row>
    <row r="90" ht="41" customHeight="1" spans="1:11">
      <c r="A90" s="40">
        <v>34</v>
      </c>
      <c r="B90" s="36">
        <v>13306030340000</v>
      </c>
      <c r="C90" s="38" t="s">
        <v>179</v>
      </c>
      <c r="D90" s="38" t="s">
        <v>180</v>
      </c>
      <c r="E90" s="37" t="s">
        <v>181</v>
      </c>
      <c r="F90" s="37"/>
      <c r="G90" s="38" t="s">
        <v>182</v>
      </c>
      <c r="H90" s="38" t="s">
        <v>17</v>
      </c>
      <c r="I90" s="37"/>
      <c r="J90" s="33">
        <v>4285</v>
      </c>
      <c r="K90" s="34" t="s">
        <v>40</v>
      </c>
    </row>
    <row r="91" ht="41" customHeight="1" spans="1:11">
      <c r="A91" s="29"/>
      <c r="B91" s="36">
        <v>13306030340001</v>
      </c>
      <c r="C91" s="38" t="s">
        <v>183</v>
      </c>
      <c r="D91" s="37"/>
      <c r="E91" s="37"/>
      <c r="F91" s="37"/>
      <c r="G91" s="37"/>
      <c r="H91" s="38" t="s">
        <v>17</v>
      </c>
      <c r="I91" s="37"/>
      <c r="J91" s="33">
        <f>4285*0.2</f>
        <v>857</v>
      </c>
      <c r="K91" s="39"/>
    </row>
    <row r="92" ht="41" customHeight="1" spans="1:11">
      <c r="A92" s="35"/>
      <c r="B92" s="36">
        <v>13306030340100</v>
      </c>
      <c r="C92" s="37" t="s">
        <v>184</v>
      </c>
      <c r="D92" s="37"/>
      <c r="E92" s="37"/>
      <c r="F92" s="37"/>
      <c r="G92" s="37"/>
      <c r="H92" s="38" t="s">
        <v>17</v>
      </c>
      <c r="I92" s="37"/>
      <c r="J92" s="33">
        <v>4285</v>
      </c>
      <c r="K92" s="34" t="s">
        <v>40</v>
      </c>
    </row>
    <row r="93" ht="41" customHeight="1" spans="1:11">
      <c r="A93" s="40">
        <v>35</v>
      </c>
      <c r="B93" s="36">
        <v>13306030350000</v>
      </c>
      <c r="C93" s="38" t="s">
        <v>185</v>
      </c>
      <c r="D93" s="38" t="s">
        <v>186</v>
      </c>
      <c r="E93" s="37" t="s">
        <v>187</v>
      </c>
      <c r="F93" s="38" t="s">
        <v>71</v>
      </c>
      <c r="G93" s="37"/>
      <c r="H93" s="38" t="s">
        <v>17</v>
      </c>
      <c r="I93" s="37"/>
      <c r="J93" s="33">
        <v>1738</v>
      </c>
      <c r="K93" s="34" t="s">
        <v>40</v>
      </c>
    </row>
    <row r="94" ht="41" customHeight="1" spans="1:11">
      <c r="A94" s="29"/>
      <c r="B94" s="36">
        <v>13306030350001</v>
      </c>
      <c r="C94" s="37" t="s">
        <v>188</v>
      </c>
      <c r="D94" s="37"/>
      <c r="E94" s="37"/>
      <c r="F94" s="37"/>
      <c r="G94" s="37"/>
      <c r="H94" s="38" t="s">
        <v>17</v>
      </c>
      <c r="I94" s="37"/>
      <c r="J94" s="33">
        <f>1738*0.2</f>
        <v>347.6</v>
      </c>
      <c r="K94" s="39"/>
    </row>
    <row r="95" ht="41" customHeight="1" spans="1:11">
      <c r="A95" s="35"/>
      <c r="B95" s="49">
        <v>13306030350011</v>
      </c>
      <c r="C95" s="37" t="s">
        <v>189</v>
      </c>
      <c r="D95" s="37"/>
      <c r="E95" s="37"/>
      <c r="F95" s="37"/>
      <c r="G95" s="37"/>
      <c r="H95" s="50" t="s">
        <v>17</v>
      </c>
      <c r="I95" s="37"/>
      <c r="J95" s="51">
        <f>1738*0.15</f>
        <v>260.7</v>
      </c>
      <c r="K95" s="42"/>
    </row>
    <row r="96" ht="41" customHeight="1" spans="1:11">
      <c r="A96" s="52">
        <v>36</v>
      </c>
      <c r="B96" s="49">
        <v>13306030360000</v>
      </c>
      <c r="C96" s="50" t="s">
        <v>190</v>
      </c>
      <c r="D96" s="50" t="s">
        <v>191</v>
      </c>
      <c r="E96" s="50" t="s">
        <v>192</v>
      </c>
      <c r="F96" s="37" t="s">
        <v>193</v>
      </c>
      <c r="G96" s="37"/>
      <c r="H96" s="50" t="s">
        <v>17</v>
      </c>
      <c r="I96" s="37"/>
      <c r="J96" s="51">
        <v>175</v>
      </c>
      <c r="K96" s="53" t="s">
        <v>19</v>
      </c>
    </row>
    <row r="97" ht="41" customHeight="1" spans="1:11">
      <c r="A97" s="54"/>
      <c r="B97" s="49">
        <v>13306030360001</v>
      </c>
      <c r="C97" s="50" t="s">
        <v>194</v>
      </c>
      <c r="D97" s="37"/>
      <c r="E97" s="37"/>
      <c r="F97" s="37"/>
      <c r="G97" s="37"/>
      <c r="H97" s="50" t="s">
        <v>17</v>
      </c>
      <c r="I97" s="37"/>
      <c r="J97" s="51">
        <f>175*0.2</f>
        <v>35</v>
      </c>
      <c r="K97" s="39"/>
    </row>
    <row r="98" ht="41" customHeight="1" spans="1:11">
      <c r="A98" s="54"/>
      <c r="B98" s="49">
        <v>13306030360011</v>
      </c>
      <c r="C98" s="37" t="s">
        <v>195</v>
      </c>
      <c r="D98" s="37"/>
      <c r="E98" s="37"/>
      <c r="F98" s="37"/>
      <c r="G98" s="37"/>
      <c r="H98" s="50" t="s">
        <v>17</v>
      </c>
      <c r="I98" s="37"/>
      <c r="J98" s="51">
        <v>929</v>
      </c>
      <c r="K98" s="39"/>
    </row>
    <row r="99" ht="41" customHeight="1" spans="1:11">
      <c r="A99" s="55"/>
      <c r="B99" s="49">
        <v>13306030360021</v>
      </c>
      <c r="C99" s="37" t="s">
        <v>196</v>
      </c>
      <c r="D99" s="37"/>
      <c r="E99" s="37"/>
      <c r="F99" s="37"/>
      <c r="G99" s="37"/>
      <c r="H99" s="50" t="s">
        <v>17</v>
      </c>
      <c r="I99" s="37"/>
      <c r="J99" s="51">
        <v>166</v>
      </c>
      <c r="K99" s="39"/>
    </row>
    <row r="100" ht="41" customHeight="1" spans="1:11">
      <c r="A100" s="52">
        <v>37</v>
      </c>
      <c r="B100" s="49">
        <v>13306030370000</v>
      </c>
      <c r="C100" s="50" t="s">
        <v>197</v>
      </c>
      <c r="D100" s="50" t="s">
        <v>198</v>
      </c>
      <c r="E100" s="37" t="s">
        <v>199</v>
      </c>
      <c r="F100" s="37" t="s">
        <v>200</v>
      </c>
      <c r="G100" s="37"/>
      <c r="H100" s="50" t="s">
        <v>17</v>
      </c>
      <c r="I100" s="50" t="s">
        <v>18</v>
      </c>
      <c r="J100" s="51">
        <v>3047</v>
      </c>
      <c r="K100" s="53" t="s">
        <v>19</v>
      </c>
    </row>
    <row r="101" ht="41" customHeight="1" spans="1:11">
      <c r="A101" s="54"/>
      <c r="B101" s="49">
        <v>13306030370001</v>
      </c>
      <c r="C101" s="37" t="s">
        <v>201</v>
      </c>
      <c r="D101" s="37"/>
      <c r="E101" s="37"/>
      <c r="F101" s="37"/>
      <c r="G101" s="37"/>
      <c r="H101" s="50" t="s">
        <v>17</v>
      </c>
      <c r="I101" s="37"/>
      <c r="J101" s="51">
        <f>3047*0.2</f>
        <v>609.4</v>
      </c>
      <c r="K101" s="39"/>
    </row>
    <row r="102" ht="41" customHeight="1" spans="1:11">
      <c r="A102" s="55"/>
      <c r="B102" s="49">
        <v>13306030370011</v>
      </c>
      <c r="C102" s="50" t="s">
        <v>202</v>
      </c>
      <c r="D102" s="37"/>
      <c r="E102" s="37"/>
      <c r="F102" s="37"/>
      <c r="G102" s="37"/>
      <c r="H102" s="50" t="s">
        <v>17</v>
      </c>
      <c r="I102" s="37"/>
      <c r="J102" s="51">
        <f>3047*0.15</f>
        <v>457.05</v>
      </c>
      <c r="K102" s="39"/>
    </row>
    <row r="103" ht="41" customHeight="1" spans="1:11">
      <c r="A103" s="52">
        <v>38</v>
      </c>
      <c r="B103" s="49">
        <v>13306030380000</v>
      </c>
      <c r="C103" s="50" t="s">
        <v>203</v>
      </c>
      <c r="D103" s="50" t="s">
        <v>204</v>
      </c>
      <c r="E103" s="50" t="s">
        <v>205</v>
      </c>
      <c r="F103" s="50" t="s">
        <v>206</v>
      </c>
      <c r="G103" s="37"/>
      <c r="H103" s="50" t="s">
        <v>17</v>
      </c>
      <c r="I103" s="37"/>
      <c r="J103" s="51">
        <v>2787</v>
      </c>
      <c r="K103" s="53" t="s">
        <v>19</v>
      </c>
    </row>
    <row r="104" ht="41" customHeight="1" spans="1:11">
      <c r="A104" s="54"/>
      <c r="B104" s="49">
        <v>13306030380001</v>
      </c>
      <c r="C104" s="50" t="s">
        <v>207</v>
      </c>
      <c r="D104" s="37"/>
      <c r="E104" s="37"/>
      <c r="F104" s="37"/>
      <c r="G104" s="37"/>
      <c r="H104" s="50" t="s">
        <v>17</v>
      </c>
      <c r="I104" s="37"/>
      <c r="J104" s="51">
        <f>2787*0.2</f>
        <v>557.4</v>
      </c>
      <c r="K104" s="39"/>
    </row>
    <row r="105" ht="41" customHeight="1" spans="1:11">
      <c r="A105" s="55"/>
      <c r="B105" s="49">
        <v>13306030380011</v>
      </c>
      <c r="C105" s="50" t="s">
        <v>208</v>
      </c>
      <c r="D105" s="37"/>
      <c r="E105" s="37"/>
      <c r="F105" s="37"/>
      <c r="G105" s="37"/>
      <c r="H105" s="50" t="s">
        <v>17</v>
      </c>
      <c r="I105" s="37"/>
      <c r="J105" s="51">
        <f>2787*0.21</f>
        <v>585.27</v>
      </c>
      <c r="K105" s="39"/>
    </row>
    <row r="106" ht="41" customHeight="1" spans="1:11">
      <c r="A106" s="56">
        <v>39</v>
      </c>
      <c r="B106" s="153" t="s">
        <v>209</v>
      </c>
      <c r="C106" s="57" t="s">
        <v>210</v>
      </c>
      <c r="D106" s="57" t="s">
        <v>211</v>
      </c>
      <c r="E106" s="57" t="s">
        <v>212</v>
      </c>
      <c r="F106" s="57" t="s">
        <v>71</v>
      </c>
      <c r="G106" s="57"/>
      <c r="H106" s="57" t="s">
        <v>17</v>
      </c>
      <c r="I106" s="58"/>
      <c r="J106" s="59">
        <v>1369</v>
      </c>
      <c r="K106" s="60"/>
    </row>
    <row r="107" ht="41" customHeight="1" spans="1:11">
      <c r="A107" s="61"/>
      <c r="B107" s="153" t="s">
        <v>213</v>
      </c>
      <c r="C107" s="57" t="s">
        <v>214</v>
      </c>
      <c r="D107" s="57"/>
      <c r="E107" s="57"/>
      <c r="F107" s="57"/>
      <c r="G107" s="57"/>
      <c r="H107" s="57" t="s">
        <v>17</v>
      </c>
      <c r="I107" s="58"/>
      <c r="J107" s="59">
        <f>1369*0.2</f>
        <v>273.8</v>
      </c>
      <c r="K107" s="57" t="s">
        <v>19</v>
      </c>
    </row>
    <row r="108" ht="41" customHeight="1" spans="1:11">
      <c r="A108" s="62"/>
      <c r="B108" s="153" t="s">
        <v>215</v>
      </c>
      <c r="C108" s="57" t="s">
        <v>216</v>
      </c>
      <c r="D108" s="57"/>
      <c r="E108" s="57"/>
      <c r="F108" s="57"/>
      <c r="G108" s="57"/>
      <c r="H108" s="57" t="s">
        <v>17</v>
      </c>
      <c r="I108" s="58"/>
      <c r="J108" s="59">
        <f>+J106*0.15</f>
        <v>205.35</v>
      </c>
      <c r="K108" s="57"/>
    </row>
    <row r="109" ht="41" customHeight="1" spans="1:11">
      <c r="A109" s="57">
        <v>40</v>
      </c>
      <c r="B109" s="153" t="s">
        <v>217</v>
      </c>
      <c r="C109" s="57" t="s">
        <v>218</v>
      </c>
      <c r="D109" s="57" t="s">
        <v>219</v>
      </c>
      <c r="E109" s="57" t="s">
        <v>212</v>
      </c>
      <c r="F109" s="57" t="s">
        <v>71</v>
      </c>
      <c r="G109" s="57"/>
      <c r="H109" s="57" t="s">
        <v>17</v>
      </c>
      <c r="I109" s="58" t="s">
        <v>220</v>
      </c>
      <c r="J109" s="59">
        <v>2077</v>
      </c>
      <c r="K109" s="57" t="s">
        <v>19</v>
      </c>
    </row>
    <row r="110" ht="41" customHeight="1" spans="1:11">
      <c r="A110" s="57"/>
      <c r="B110" s="153" t="s">
        <v>221</v>
      </c>
      <c r="C110" s="57" t="s">
        <v>222</v>
      </c>
      <c r="D110" s="57"/>
      <c r="E110" s="57"/>
      <c r="F110" s="57"/>
      <c r="G110" s="57"/>
      <c r="H110" s="57" t="s">
        <v>17</v>
      </c>
      <c r="I110" s="58"/>
      <c r="J110" s="59">
        <f>+J109*0.2</f>
        <v>415.4</v>
      </c>
      <c r="K110" s="57"/>
    </row>
    <row r="111" ht="41" customHeight="1" spans="1:11">
      <c r="A111" s="57"/>
      <c r="B111" s="153" t="s">
        <v>223</v>
      </c>
      <c r="C111" s="57" t="s">
        <v>224</v>
      </c>
      <c r="D111" s="57"/>
      <c r="E111" s="57"/>
      <c r="F111" s="57"/>
      <c r="G111" s="57"/>
      <c r="H111" s="57" t="s">
        <v>17</v>
      </c>
      <c r="I111" s="58"/>
      <c r="J111" s="59">
        <f>+J109*0.15</f>
        <v>311.55</v>
      </c>
      <c r="K111" s="57"/>
    </row>
    <row r="112" ht="41" customHeight="1" spans="1:11">
      <c r="A112" s="57">
        <v>41</v>
      </c>
      <c r="B112" s="153" t="s">
        <v>225</v>
      </c>
      <c r="C112" s="57" t="s">
        <v>226</v>
      </c>
      <c r="D112" s="57" t="s">
        <v>227</v>
      </c>
      <c r="E112" s="57" t="s">
        <v>228</v>
      </c>
      <c r="F112" s="57" t="s">
        <v>71</v>
      </c>
      <c r="G112" s="57"/>
      <c r="H112" s="57" t="s">
        <v>17</v>
      </c>
      <c r="I112" s="58"/>
      <c r="J112" s="59">
        <v>1369</v>
      </c>
      <c r="K112" s="57" t="s">
        <v>19</v>
      </c>
    </row>
    <row r="113" ht="41" customHeight="1" spans="1:11">
      <c r="A113" s="57"/>
      <c r="B113" s="153" t="s">
        <v>229</v>
      </c>
      <c r="C113" s="57" t="s">
        <v>230</v>
      </c>
      <c r="D113" s="57"/>
      <c r="E113" s="57"/>
      <c r="F113" s="57"/>
      <c r="G113" s="57"/>
      <c r="H113" s="57" t="s">
        <v>17</v>
      </c>
      <c r="I113" s="58"/>
      <c r="J113" s="59">
        <f>+J112*0.2</f>
        <v>273.8</v>
      </c>
      <c r="K113" s="57"/>
    </row>
    <row r="114" ht="41" customHeight="1" spans="1:11">
      <c r="A114" s="57"/>
      <c r="B114" s="153" t="s">
        <v>231</v>
      </c>
      <c r="C114" s="57" t="s">
        <v>232</v>
      </c>
      <c r="D114" s="57"/>
      <c r="E114" s="57"/>
      <c r="F114" s="57"/>
      <c r="G114" s="57"/>
      <c r="H114" s="57" t="s">
        <v>17</v>
      </c>
      <c r="I114" s="58"/>
      <c r="J114" s="59">
        <f>+J112*K114</f>
        <v>0</v>
      </c>
      <c r="K114" s="57"/>
    </row>
    <row r="115" ht="41" customHeight="1" spans="1:11">
      <c r="A115" s="56">
        <v>42</v>
      </c>
      <c r="B115" s="154" t="s">
        <v>233</v>
      </c>
      <c r="C115" s="57" t="s">
        <v>234</v>
      </c>
      <c r="D115" s="57" t="s">
        <v>235</v>
      </c>
      <c r="E115" s="57" t="s">
        <v>228</v>
      </c>
      <c r="F115" s="57" t="s">
        <v>71</v>
      </c>
      <c r="G115" s="57"/>
      <c r="H115" s="57" t="s">
        <v>17</v>
      </c>
      <c r="I115" s="58" t="s">
        <v>236</v>
      </c>
      <c r="J115" s="59">
        <v>1703</v>
      </c>
      <c r="K115" s="57" t="s">
        <v>19</v>
      </c>
    </row>
    <row r="116" ht="41" customHeight="1" spans="1:11">
      <c r="A116" s="61"/>
      <c r="B116" s="64">
        <v>13306030420001</v>
      </c>
      <c r="C116" s="65" t="s">
        <v>237</v>
      </c>
      <c r="D116" s="37"/>
      <c r="E116" s="37"/>
      <c r="F116" s="37"/>
      <c r="G116" s="37"/>
      <c r="H116" s="38" t="s">
        <v>17</v>
      </c>
      <c r="I116" s="37"/>
      <c r="J116" s="33">
        <f>+J115*K116</f>
        <v>0</v>
      </c>
      <c r="K116" s="42"/>
    </row>
    <row r="117" ht="41" customHeight="1" spans="1:11">
      <c r="A117" s="66"/>
      <c r="B117" s="64">
        <v>13306030420011</v>
      </c>
      <c r="C117" s="37" t="s">
        <v>238</v>
      </c>
      <c r="D117" s="37"/>
      <c r="E117" s="37"/>
      <c r="F117" s="37"/>
      <c r="G117" s="37"/>
      <c r="H117" s="38" t="s">
        <v>17</v>
      </c>
      <c r="I117" s="37"/>
      <c r="J117" s="33">
        <f>+J115*0.15</f>
        <v>255.45</v>
      </c>
      <c r="K117" s="42"/>
    </row>
    <row r="118" ht="41" customHeight="1" spans="1:11">
      <c r="A118" s="40">
        <v>43</v>
      </c>
      <c r="B118" s="36">
        <v>13306030430000</v>
      </c>
      <c r="C118" s="67" t="s">
        <v>239</v>
      </c>
      <c r="D118" s="38" t="s">
        <v>240</v>
      </c>
      <c r="E118" s="38" t="s">
        <v>241</v>
      </c>
      <c r="F118" s="38" t="s">
        <v>71</v>
      </c>
      <c r="G118" s="37"/>
      <c r="H118" s="38" t="s">
        <v>17</v>
      </c>
      <c r="I118" s="38" t="s">
        <v>18</v>
      </c>
      <c r="J118" s="33">
        <v>2651</v>
      </c>
      <c r="K118" s="34" t="s">
        <v>19</v>
      </c>
    </row>
    <row r="119" ht="41" customHeight="1" spans="1:11">
      <c r="A119" s="29"/>
      <c r="B119" s="36">
        <v>13306030430001</v>
      </c>
      <c r="C119" s="37" t="s">
        <v>242</v>
      </c>
      <c r="D119" s="37"/>
      <c r="E119" s="37"/>
      <c r="F119" s="37"/>
      <c r="G119" s="37"/>
      <c r="H119" s="38" t="s">
        <v>17</v>
      </c>
      <c r="I119" s="37"/>
      <c r="J119" s="33">
        <f>+J118*0.2</f>
        <v>530.2</v>
      </c>
      <c r="K119" s="39"/>
    </row>
    <row r="120" ht="41" customHeight="1" spans="1:11">
      <c r="A120" s="35"/>
      <c r="B120" s="38" t="s">
        <v>243</v>
      </c>
      <c r="C120" s="37" t="s">
        <v>244</v>
      </c>
      <c r="D120" s="37"/>
      <c r="E120" s="37"/>
      <c r="F120" s="37"/>
      <c r="G120" s="37"/>
      <c r="H120" s="38" t="s">
        <v>17</v>
      </c>
      <c r="I120" s="37"/>
      <c r="J120" s="33">
        <f>+J118*0.15</f>
        <v>397.65</v>
      </c>
      <c r="K120" s="39"/>
    </row>
    <row r="121" ht="41" customHeight="1" spans="1:11">
      <c r="A121" s="40">
        <v>44</v>
      </c>
      <c r="B121" s="36">
        <v>13306030440000</v>
      </c>
      <c r="C121" s="67" t="s">
        <v>245</v>
      </c>
      <c r="D121" s="37" t="s">
        <v>246</v>
      </c>
      <c r="E121" s="38" t="s">
        <v>241</v>
      </c>
      <c r="F121" s="38" t="s">
        <v>71</v>
      </c>
      <c r="G121" s="37"/>
      <c r="H121" s="38" t="s">
        <v>17</v>
      </c>
      <c r="I121" s="38" t="s">
        <v>247</v>
      </c>
      <c r="J121" s="33">
        <v>3046</v>
      </c>
      <c r="K121" s="34" t="s">
        <v>19</v>
      </c>
    </row>
    <row r="122" ht="41" customHeight="1" spans="1:11">
      <c r="A122" s="29"/>
      <c r="B122" s="36">
        <v>13306030440001</v>
      </c>
      <c r="C122" s="37" t="s">
        <v>248</v>
      </c>
      <c r="D122" s="37"/>
      <c r="E122" s="37"/>
      <c r="F122" s="37"/>
      <c r="G122" s="37"/>
      <c r="H122" s="38" t="s">
        <v>17</v>
      </c>
      <c r="I122" s="37"/>
      <c r="J122" s="33">
        <f>3046*0.2</f>
        <v>609.2</v>
      </c>
      <c r="K122" s="39"/>
    </row>
    <row r="123" ht="41" customHeight="1" spans="1:11">
      <c r="A123" s="35"/>
      <c r="B123" s="36">
        <v>13306030440011</v>
      </c>
      <c r="C123" s="67" t="s">
        <v>249</v>
      </c>
      <c r="D123" s="37"/>
      <c r="E123" s="37"/>
      <c r="F123" s="37"/>
      <c r="G123" s="37"/>
      <c r="H123" s="38" t="s">
        <v>17</v>
      </c>
      <c r="I123" s="37"/>
      <c r="J123" s="33">
        <f>+J121*0.15</f>
        <v>456.9</v>
      </c>
      <c r="K123" s="39"/>
    </row>
    <row r="124" ht="41" customHeight="1" spans="1:11">
      <c r="A124" s="40">
        <v>45</v>
      </c>
      <c r="B124" s="36">
        <v>13306030450000</v>
      </c>
      <c r="C124" s="67" t="s">
        <v>250</v>
      </c>
      <c r="D124" s="38" t="s">
        <v>251</v>
      </c>
      <c r="E124" s="38" t="s">
        <v>252</v>
      </c>
      <c r="F124" s="37"/>
      <c r="G124" s="37"/>
      <c r="H124" s="38" t="s">
        <v>253</v>
      </c>
      <c r="I124" s="37" t="s">
        <v>254</v>
      </c>
      <c r="J124" s="33">
        <v>5540</v>
      </c>
      <c r="K124" s="34" t="s">
        <v>40</v>
      </c>
    </row>
    <row r="125" ht="41" customHeight="1" spans="1:11">
      <c r="A125" s="35"/>
      <c r="B125" s="36">
        <v>13306030450001</v>
      </c>
      <c r="C125" s="37" t="s">
        <v>255</v>
      </c>
      <c r="D125" s="37"/>
      <c r="E125" s="37"/>
      <c r="F125" s="37"/>
      <c r="G125" s="37"/>
      <c r="H125" s="38" t="s">
        <v>253</v>
      </c>
      <c r="I125" s="37"/>
      <c r="J125" s="33">
        <f t="shared" ref="J125:J130" si="0">+J124*0.2</f>
        <v>1108</v>
      </c>
      <c r="K125" s="39"/>
    </row>
    <row r="126" ht="41" customHeight="1" spans="1:11">
      <c r="A126" s="57">
        <v>46</v>
      </c>
      <c r="B126" s="155" t="s">
        <v>256</v>
      </c>
      <c r="C126" s="57" t="s">
        <v>257</v>
      </c>
      <c r="D126" s="57" t="s">
        <v>258</v>
      </c>
      <c r="E126" s="57" t="s">
        <v>259</v>
      </c>
      <c r="F126" s="57" t="s">
        <v>154</v>
      </c>
      <c r="G126" s="57"/>
      <c r="H126" s="57" t="s">
        <v>17</v>
      </c>
      <c r="I126" s="58"/>
      <c r="J126" s="59">
        <v>1369</v>
      </c>
      <c r="K126" s="60"/>
    </row>
    <row r="127" ht="41" customHeight="1" spans="1:11">
      <c r="A127" s="57"/>
      <c r="B127" s="155" t="s">
        <v>260</v>
      </c>
      <c r="C127" s="57" t="s">
        <v>261</v>
      </c>
      <c r="D127" s="57"/>
      <c r="E127" s="57"/>
      <c r="F127" s="57"/>
      <c r="G127" s="57"/>
      <c r="H127" s="57" t="s">
        <v>17</v>
      </c>
      <c r="I127" s="58"/>
      <c r="J127" s="59">
        <f t="shared" si="0"/>
        <v>273.8</v>
      </c>
      <c r="K127" s="60"/>
    </row>
    <row r="128" ht="41" customHeight="1" spans="1:11">
      <c r="A128" s="57"/>
      <c r="B128" s="155" t="s">
        <v>262</v>
      </c>
      <c r="C128" s="57" t="s">
        <v>263</v>
      </c>
      <c r="D128" s="57"/>
      <c r="E128" s="57"/>
      <c r="F128" s="57"/>
      <c r="G128" s="57"/>
      <c r="H128" s="57" t="s">
        <v>17</v>
      </c>
      <c r="I128" s="58"/>
      <c r="J128" s="59">
        <f>+J126*0.2</f>
        <v>273.8</v>
      </c>
      <c r="K128" s="57" t="s">
        <v>19</v>
      </c>
    </row>
    <row r="129" ht="41" customHeight="1" spans="1:11">
      <c r="A129" s="57">
        <v>47</v>
      </c>
      <c r="B129" s="156" t="s">
        <v>264</v>
      </c>
      <c r="C129" s="57" t="s">
        <v>265</v>
      </c>
      <c r="D129" s="57" t="s">
        <v>266</v>
      </c>
      <c r="E129" s="57" t="s">
        <v>267</v>
      </c>
      <c r="F129" s="57" t="s">
        <v>268</v>
      </c>
      <c r="G129" s="57"/>
      <c r="H129" s="57" t="s">
        <v>17</v>
      </c>
      <c r="I129" s="58" t="s">
        <v>269</v>
      </c>
      <c r="J129" s="59">
        <v>2280</v>
      </c>
      <c r="K129" s="60"/>
    </row>
    <row r="130" ht="41" customHeight="1" spans="1:11">
      <c r="A130" s="57"/>
      <c r="B130" s="156" t="s">
        <v>270</v>
      </c>
      <c r="C130" s="57" t="s">
        <v>271</v>
      </c>
      <c r="D130" s="57"/>
      <c r="E130" s="57"/>
      <c r="F130" s="57"/>
      <c r="G130" s="57"/>
      <c r="H130" s="57" t="s">
        <v>17</v>
      </c>
      <c r="I130" s="58"/>
      <c r="J130" s="59">
        <f t="shared" si="0"/>
        <v>456</v>
      </c>
      <c r="K130" s="57" t="s">
        <v>19</v>
      </c>
    </row>
    <row r="131" ht="41" customHeight="1" spans="1:11">
      <c r="A131" s="57"/>
      <c r="B131" s="156" t="s">
        <v>272</v>
      </c>
      <c r="C131" s="57" t="s">
        <v>273</v>
      </c>
      <c r="D131" s="57"/>
      <c r="E131" s="57"/>
      <c r="F131" s="57"/>
      <c r="G131" s="57"/>
      <c r="H131" s="57" t="s">
        <v>17</v>
      </c>
      <c r="I131" s="58"/>
      <c r="J131" s="59">
        <f>+J129*0.3</f>
        <v>684</v>
      </c>
      <c r="K131" s="70"/>
    </row>
    <row r="132" ht="41" customHeight="1" spans="1:11">
      <c r="A132" s="57">
        <v>48</v>
      </c>
      <c r="B132" s="156" t="s">
        <v>274</v>
      </c>
      <c r="C132" s="57" t="s">
        <v>275</v>
      </c>
      <c r="D132" s="57" t="s">
        <v>276</v>
      </c>
      <c r="E132" s="57" t="s">
        <v>267</v>
      </c>
      <c r="F132" s="57"/>
      <c r="G132" s="57"/>
      <c r="H132" s="57" t="s">
        <v>17</v>
      </c>
      <c r="I132" s="58" t="s">
        <v>277</v>
      </c>
      <c r="J132" s="59">
        <v>2279</v>
      </c>
      <c r="K132" s="57" t="s">
        <v>19</v>
      </c>
    </row>
    <row r="133" ht="41" customHeight="1" spans="1:11">
      <c r="A133" s="57"/>
      <c r="B133" s="156" t="s">
        <v>278</v>
      </c>
      <c r="C133" s="57" t="s">
        <v>279</v>
      </c>
      <c r="D133" s="57"/>
      <c r="E133" s="57"/>
      <c r="F133" s="57"/>
      <c r="G133" s="57"/>
      <c r="H133" s="57" t="s">
        <v>17</v>
      </c>
      <c r="I133" s="58"/>
      <c r="J133" s="59">
        <f t="shared" ref="J133:J137" si="1">+J132*0.2</f>
        <v>455.8</v>
      </c>
      <c r="K133" s="70"/>
    </row>
    <row r="134" ht="41" customHeight="1" spans="1:11">
      <c r="A134" s="56">
        <v>49</v>
      </c>
      <c r="B134" s="156" t="s">
        <v>280</v>
      </c>
      <c r="C134" s="57" t="s">
        <v>281</v>
      </c>
      <c r="D134" s="57" t="s">
        <v>282</v>
      </c>
      <c r="E134" s="57" t="s">
        <v>267</v>
      </c>
      <c r="F134" s="57"/>
      <c r="G134" s="57"/>
      <c r="H134" s="57" t="s">
        <v>35</v>
      </c>
      <c r="I134" s="58"/>
      <c r="J134" s="59">
        <v>1617</v>
      </c>
      <c r="K134" s="60"/>
    </row>
    <row r="135" ht="41" customHeight="1" spans="1:11">
      <c r="A135" s="62"/>
      <c r="B135" s="156" t="s">
        <v>283</v>
      </c>
      <c r="C135" s="57" t="s">
        <v>284</v>
      </c>
      <c r="D135" s="57"/>
      <c r="E135" s="57"/>
      <c r="F135" s="57"/>
      <c r="G135" s="57"/>
      <c r="H135" s="57" t="s">
        <v>35</v>
      </c>
      <c r="I135" s="58"/>
      <c r="J135" s="59">
        <f t="shared" si="1"/>
        <v>323.4</v>
      </c>
      <c r="K135" s="57" t="s">
        <v>19</v>
      </c>
    </row>
    <row r="136" ht="41" customHeight="1" spans="1:11">
      <c r="A136" s="56">
        <v>50</v>
      </c>
      <c r="B136" s="156" t="s">
        <v>285</v>
      </c>
      <c r="C136" s="57" t="s">
        <v>286</v>
      </c>
      <c r="D136" s="57" t="s">
        <v>287</v>
      </c>
      <c r="E136" s="57" t="s">
        <v>288</v>
      </c>
      <c r="F136" s="57"/>
      <c r="G136" s="57"/>
      <c r="H136" s="57" t="s">
        <v>17</v>
      </c>
      <c r="I136" s="58"/>
      <c r="J136" s="59">
        <v>1111</v>
      </c>
      <c r="K136" s="60"/>
    </row>
    <row r="137" ht="41" customHeight="1" spans="1:11">
      <c r="A137" s="62"/>
      <c r="B137" s="156" t="s">
        <v>289</v>
      </c>
      <c r="C137" s="57" t="s">
        <v>290</v>
      </c>
      <c r="D137" s="57"/>
      <c r="E137" s="57"/>
      <c r="F137" s="57"/>
      <c r="G137" s="57"/>
      <c r="H137" s="57" t="s">
        <v>17</v>
      </c>
      <c r="I137" s="58"/>
      <c r="J137" s="59">
        <f t="shared" si="1"/>
        <v>222.2</v>
      </c>
      <c r="K137" s="57" t="s">
        <v>40</v>
      </c>
    </row>
    <row r="138" ht="41" customHeight="1" spans="1:11">
      <c r="A138" s="40">
        <v>51</v>
      </c>
      <c r="B138" s="71">
        <v>13306030510000</v>
      </c>
      <c r="C138" s="38" t="s">
        <v>291</v>
      </c>
      <c r="D138" s="37" t="s">
        <v>292</v>
      </c>
      <c r="E138" s="37" t="s">
        <v>293</v>
      </c>
      <c r="F138" s="38" t="s">
        <v>294</v>
      </c>
      <c r="G138" s="37"/>
      <c r="H138" s="72" t="s">
        <v>17</v>
      </c>
      <c r="I138" s="38" t="s">
        <v>18</v>
      </c>
      <c r="J138" s="33">
        <v>1713</v>
      </c>
      <c r="K138" s="34" t="s">
        <v>19</v>
      </c>
    </row>
    <row r="139" ht="41" customHeight="1" spans="1:11">
      <c r="A139" s="29"/>
      <c r="B139" s="71">
        <v>13306030510001</v>
      </c>
      <c r="C139" s="72" t="s">
        <v>295</v>
      </c>
      <c r="D139" s="37"/>
      <c r="E139" s="37"/>
      <c r="F139" s="37"/>
      <c r="G139" s="37"/>
      <c r="H139" s="72" t="s">
        <v>17</v>
      </c>
      <c r="I139" s="37"/>
      <c r="J139" s="73">
        <f>+J138*0.2</f>
        <v>342.6</v>
      </c>
      <c r="K139" s="39"/>
    </row>
    <row r="140" ht="41" customHeight="1" spans="1:11">
      <c r="A140" s="35"/>
      <c r="B140" s="71">
        <v>13306030510011</v>
      </c>
      <c r="C140" s="37" t="s">
        <v>296</v>
      </c>
      <c r="D140" s="37"/>
      <c r="E140" s="37"/>
      <c r="F140" s="37"/>
      <c r="G140" s="37"/>
      <c r="H140" s="72" t="s">
        <v>17</v>
      </c>
      <c r="I140" s="37"/>
      <c r="J140" s="33">
        <v>672</v>
      </c>
      <c r="K140" s="39"/>
    </row>
    <row r="141" ht="41" customHeight="1" spans="1:11">
      <c r="A141" s="40">
        <v>52</v>
      </c>
      <c r="B141" s="71">
        <v>13306030520000</v>
      </c>
      <c r="C141" s="72" t="s">
        <v>297</v>
      </c>
      <c r="D141" s="72" t="s">
        <v>298</v>
      </c>
      <c r="E141" s="37" t="s">
        <v>293</v>
      </c>
      <c r="F141" s="38" t="s">
        <v>299</v>
      </c>
      <c r="G141" s="37"/>
      <c r="H141" s="72" t="s">
        <v>35</v>
      </c>
      <c r="I141" s="38" t="s">
        <v>18</v>
      </c>
      <c r="J141" s="33">
        <v>2385</v>
      </c>
      <c r="K141" s="34" t="s">
        <v>40</v>
      </c>
    </row>
    <row r="142" ht="41" customHeight="1" spans="1:11">
      <c r="A142" s="29"/>
      <c r="B142" s="71">
        <v>13306030520001</v>
      </c>
      <c r="C142" s="37" t="s">
        <v>300</v>
      </c>
      <c r="D142" s="37"/>
      <c r="E142" s="37"/>
      <c r="F142" s="37"/>
      <c r="G142" s="37"/>
      <c r="H142" s="72" t="s">
        <v>35</v>
      </c>
      <c r="I142" s="37"/>
      <c r="J142" s="33">
        <f t="shared" ref="J142:J147" si="2">+J141*0.2</f>
        <v>477</v>
      </c>
      <c r="K142" s="39"/>
    </row>
    <row r="143" ht="41" customHeight="1" spans="1:11">
      <c r="A143" s="35"/>
      <c r="B143" s="71">
        <v>13306030520011</v>
      </c>
      <c r="C143" s="72" t="s">
        <v>301</v>
      </c>
      <c r="D143" s="37"/>
      <c r="E143" s="37"/>
      <c r="F143" s="37"/>
      <c r="G143" s="37"/>
      <c r="H143" s="72" t="s">
        <v>35</v>
      </c>
      <c r="I143" s="37"/>
      <c r="J143" s="33">
        <f>+J141*0.2</f>
        <v>477</v>
      </c>
      <c r="K143" s="39"/>
    </row>
    <row r="144" ht="41" customHeight="1" spans="1:11">
      <c r="A144" s="40">
        <v>53</v>
      </c>
      <c r="B144" s="71">
        <v>13306030530000</v>
      </c>
      <c r="C144" s="72" t="s">
        <v>302</v>
      </c>
      <c r="D144" s="72" t="s">
        <v>303</v>
      </c>
      <c r="E144" s="37" t="s">
        <v>304</v>
      </c>
      <c r="F144" s="37"/>
      <c r="G144" s="37"/>
      <c r="H144" s="72" t="s">
        <v>35</v>
      </c>
      <c r="I144" s="38" t="s">
        <v>18</v>
      </c>
      <c r="J144" s="33">
        <v>1444</v>
      </c>
      <c r="K144" s="34" t="s">
        <v>19</v>
      </c>
    </row>
    <row r="145" ht="41" customHeight="1" spans="1:11">
      <c r="A145" s="35"/>
      <c r="B145" s="71">
        <v>13306030530001</v>
      </c>
      <c r="C145" s="38" t="s">
        <v>305</v>
      </c>
      <c r="D145" s="37"/>
      <c r="E145" s="37"/>
      <c r="F145" s="37"/>
      <c r="G145" s="37"/>
      <c r="H145" s="72" t="s">
        <v>35</v>
      </c>
      <c r="I145" s="37"/>
      <c r="J145" s="73">
        <f t="shared" si="2"/>
        <v>288.8</v>
      </c>
      <c r="K145" s="39"/>
    </row>
    <row r="146" ht="41" customHeight="1" spans="1:11">
      <c r="A146" s="40">
        <v>54</v>
      </c>
      <c r="B146" s="71">
        <v>13306030540000</v>
      </c>
      <c r="C146" s="38" t="s">
        <v>306</v>
      </c>
      <c r="D146" s="37" t="s">
        <v>307</v>
      </c>
      <c r="E146" s="37" t="s">
        <v>308</v>
      </c>
      <c r="F146" s="37"/>
      <c r="G146" s="37"/>
      <c r="H146" s="72" t="s">
        <v>17</v>
      </c>
      <c r="I146" s="37" t="s">
        <v>309</v>
      </c>
      <c r="J146" s="33">
        <v>1325</v>
      </c>
      <c r="K146" s="34" t="s">
        <v>19</v>
      </c>
    </row>
    <row r="147" ht="41" customHeight="1" spans="1:11">
      <c r="A147" s="35"/>
      <c r="B147" s="71">
        <v>13306030540001</v>
      </c>
      <c r="C147" s="37" t="s">
        <v>310</v>
      </c>
      <c r="D147" s="37"/>
      <c r="E147" s="37"/>
      <c r="F147" s="37"/>
      <c r="G147" s="37"/>
      <c r="H147" s="72" t="s">
        <v>17</v>
      </c>
      <c r="I147" s="37"/>
      <c r="J147" s="33">
        <f t="shared" si="2"/>
        <v>265</v>
      </c>
      <c r="K147" s="39"/>
    </row>
    <row r="148" ht="41" customHeight="1" spans="1:11">
      <c r="A148" s="40">
        <v>55</v>
      </c>
      <c r="B148" s="71">
        <v>13306030550000</v>
      </c>
      <c r="C148" s="38" t="s">
        <v>311</v>
      </c>
      <c r="D148" s="72" t="s">
        <v>312</v>
      </c>
      <c r="E148" s="37" t="s">
        <v>308</v>
      </c>
      <c r="F148" s="37"/>
      <c r="G148" s="37"/>
      <c r="H148" s="72" t="s">
        <v>17</v>
      </c>
      <c r="I148" s="37" t="s">
        <v>313</v>
      </c>
      <c r="J148" s="33">
        <v>2035</v>
      </c>
      <c r="K148" s="34" t="s">
        <v>40</v>
      </c>
    </row>
    <row r="149" ht="41" customHeight="1" spans="1:11">
      <c r="A149" s="35"/>
      <c r="B149" s="71">
        <v>13306030550001</v>
      </c>
      <c r="C149" s="38" t="s">
        <v>314</v>
      </c>
      <c r="D149" s="37"/>
      <c r="E149" s="37"/>
      <c r="F149" s="37"/>
      <c r="G149" s="37"/>
      <c r="H149" s="72" t="s">
        <v>17</v>
      </c>
      <c r="I149" s="37"/>
      <c r="J149" s="73">
        <f t="shared" ref="J149:J153" si="3">+J148*0.2</f>
        <v>407</v>
      </c>
      <c r="K149" s="39"/>
    </row>
    <row r="150" ht="41" customHeight="1" spans="1:11">
      <c r="A150" s="57">
        <v>56</v>
      </c>
      <c r="B150" s="157" t="s">
        <v>315</v>
      </c>
      <c r="C150" s="57" t="s">
        <v>316</v>
      </c>
      <c r="D150" s="57" t="s">
        <v>317</v>
      </c>
      <c r="E150" s="57" t="s">
        <v>259</v>
      </c>
      <c r="F150" s="57"/>
      <c r="G150" s="57"/>
      <c r="H150" s="57" t="s">
        <v>35</v>
      </c>
      <c r="I150" s="58"/>
      <c r="J150" s="59">
        <v>1686</v>
      </c>
      <c r="K150" s="57" t="s">
        <v>19</v>
      </c>
    </row>
    <row r="151" ht="41" customHeight="1" spans="1:11">
      <c r="A151" s="57"/>
      <c r="B151" s="157" t="s">
        <v>318</v>
      </c>
      <c r="C151" s="57" t="s">
        <v>319</v>
      </c>
      <c r="D151" s="57"/>
      <c r="E151" s="57"/>
      <c r="F151" s="57"/>
      <c r="G151" s="57"/>
      <c r="H151" s="57" t="s">
        <v>35</v>
      </c>
      <c r="I151" s="58"/>
      <c r="J151" s="59">
        <f t="shared" si="3"/>
        <v>337.2</v>
      </c>
      <c r="K151" s="57" t="s">
        <v>19</v>
      </c>
    </row>
    <row r="152" ht="41" customHeight="1" spans="1:11">
      <c r="A152" s="57">
        <v>57</v>
      </c>
      <c r="B152" s="157" t="s">
        <v>320</v>
      </c>
      <c r="C152" s="57" t="s">
        <v>321</v>
      </c>
      <c r="D152" s="57" t="s">
        <v>322</v>
      </c>
      <c r="E152" s="57" t="s">
        <v>323</v>
      </c>
      <c r="F152" s="57"/>
      <c r="G152" s="57"/>
      <c r="H152" s="57" t="s">
        <v>17</v>
      </c>
      <c r="I152" s="58" t="s">
        <v>324</v>
      </c>
      <c r="J152" s="59">
        <v>3447</v>
      </c>
      <c r="K152" s="57" t="s">
        <v>19</v>
      </c>
    </row>
    <row r="153" ht="41" customHeight="1" spans="1:11">
      <c r="A153" s="57"/>
      <c r="B153" s="157" t="s">
        <v>325</v>
      </c>
      <c r="C153" s="57" t="s">
        <v>326</v>
      </c>
      <c r="D153" s="57"/>
      <c r="E153" s="57"/>
      <c r="F153" s="57"/>
      <c r="G153" s="57"/>
      <c r="H153" s="57" t="s">
        <v>17</v>
      </c>
      <c r="I153" s="58"/>
      <c r="J153" s="59">
        <f t="shared" si="3"/>
        <v>689.4</v>
      </c>
      <c r="K153" s="57"/>
    </row>
    <row r="154" ht="41" customHeight="1" spans="1:11">
      <c r="A154" s="57">
        <v>58</v>
      </c>
      <c r="B154" s="156" t="s">
        <v>327</v>
      </c>
      <c r="C154" s="57" t="s">
        <v>328</v>
      </c>
      <c r="D154" s="57" t="s">
        <v>329</v>
      </c>
      <c r="E154" s="57" t="s">
        <v>323</v>
      </c>
      <c r="F154" s="57"/>
      <c r="G154" s="57"/>
      <c r="H154" s="57" t="s">
        <v>17</v>
      </c>
      <c r="I154" s="58" t="s">
        <v>330</v>
      </c>
      <c r="J154" s="59">
        <v>2385</v>
      </c>
      <c r="K154" s="57" t="s">
        <v>19</v>
      </c>
    </row>
    <row r="155" ht="41" customHeight="1" spans="1:11">
      <c r="A155" s="57"/>
      <c r="B155" s="156" t="s">
        <v>331</v>
      </c>
      <c r="C155" s="57" t="s">
        <v>332</v>
      </c>
      <c r="D155" s="57"/>
      <c r="E155" s="57"/>
      <c r="F155" s="57"/>
      <c r="G155" s="57"/>
      <c r="H155" s="57" t="s">
        <v>17</v>
      </c>
      <c r="I155" s="58"/>
      <c r="J155" s="59">
        <f t="shared" ref="J155:J159" si="4">+J154*0.2</f>
        <v>477</v>
      </c>
      <c r="K155" s="57"/>
    </row>
    <row r="156" ht="41" customHeight="1" spans="1:11">
      <c r="A156" s="56">
        <v>59</v>
      </c>
      <c r="B156" s="156" t="s">
        <v>333</v>
      </c>
      <c r="C156" s="57" t="s">
        <v>334</v>
      </c>
      <c r="D156" s="57" t="s">
        <v>335</v>
      </c>
      <c r="E156" s="57" t="s">
        <v>336</v>
      </c>
      <c r="F156" s="57"/>
      <c r="G156" s="57"/>
      <c r="H156" s="57" t="s">
        <v>35</v>
      </c>
      <c r="I156" s="58" t="s">
        <v>337</v>
      </c>
      <c r="J156" s="59">
        <v>892</v>
      </c>
      <c r="K156" s="57" t="s">
        <v>19</v>
      </c>
    </row>
    <row r="157" ht="41" customHeight="1" spans="1:11">
      <c r="A157" s="62"/>
      <c r="B157" s="156" t="s">
        <v>338</v>
      </c>
      <c r="C157" s="57" t="s">
        <v>339</v>
      </c>
      <c r="D157" s="57"/>
      <c r="E157" s="57"/>
      <c r="F157" s="57"/>
      <c r="G157" s="57"/>
      <c r="H157" s="57" t="s">
        <v>35</v>
      </c>
      <c r="I157" s="58"/>
      <c r="J157" s="59">
        <f t="shared" si="4"/>
        <v>178.4</v>
      </c>
      <c r="K157" s="57"/>
    </row>
    <row r="158" ht="41" customHeight="1" spans="1:11">
      <c r="A158" s="57">
        <v>60</v>
      </c>
      <c r="B158" s="156" t="s">
        <v>340</v>
      </c>
      <c r="C158" s="57" t="s">
        <v>341</v>
      </c>
      <c r="D158" s="57" t="s">
        <v>342</v>
      </c>
      <c r="E158" s="57" t="s">
        <v>336</v>
      </c>
      <c r="F158" s="57"/>
      <c r="G158" s="57"/>
      <c r="H158" s="57" t="s">
        <v>35</v>
      </c>
      <c r="I158" s="58" t="s">
        <v>343</v>
      </c>
      <c r="J158" s="59">
        <v>973</v>
      </c>
      <c r="K158" s="60"/>
    </row>
    <row r="159" ht="41" customHeight="1" spans="1:11">
      <c r="A159" s="57"/>
      <c r="B159" s="156" t="s">
        <v>344</v>
      </c>
      <c r="C159" s="57" t="s">
        <v>345</v>
      </c>
      <c r="D159" s="57"/>
      <c r="E159" s="57"/>
      <c r="F159" s="57"/>
      <c r="G159" s="57"/>
      <c r="H159" s="57" t="s">
        <v>35</v>
      </c>
      <c r="I159" s="58"/>
      <c r="J159" s="59">
        <f t="shared" si="4"/>
        <v>194.6</v>
      </c>
      <c r="K159" s="57" t="s">
        <v>19</v>
      </c>
    </row>
    <row r="160" ht="41" customHeight="1" spans="1:11">
      <c r="A160" s="75">
        <v>61</v>
      </c>
      <c r="B160" s="76">
        <v>13306030610000</v>
      </c>
      <c r="C160" s="34" t="s">
        <v>346</v>
      </c>
      <c r="D160" s="34" t="s">
        <v>347</v>
      </c>
      <c r="E160" s="34" t="s">
        <v>348</v>
      </c>
      <c r="F160" s="77"/>
      <c r="G160" s="77"/>
      <c r="H160" s="34" t="s">
        <v>349</v>
      </c>
      <c r="I160" s="78"/>
      <c r="J160" s="33">
        <v>419</v>
      </c>
      <c r="K160" s="34" t="s">
        <v>19</v>
      </c>
    </row>
    <row r="161" ht="41" customHeight="1" spans="1:11">
      <c r="A161" s="79"/>
      <c r="B161" s="80">
        <v>13306030610001</v>
      </c>
      <c r="C161" s="81" t="s">
        <v>350</v>
      </c>
      <c r="D161" s="82"/>
      <c r="E161" s="82"/>
      <c r="F161" s="82"/>
      <c r="G161" s="82"/>
      <c r="H161" s="82" t="s">
        <v>349</v>
      </c>
      <c r="I161" s="83"/>
      <c r="J161" s="33">
        <f t="shared" ref="J161:J165" si="5">+J160*0.2</f>
        <v>83.8</v>
      </c>
      <c r="K161" s="39"/>
    </row>
    <row r="162" ht="41" customHeight="1" spans="1:11">
      <c r="A162" s="40">
        <v>62</v>
      </c>
      <c r="B162" s="36">
        <v>13306030620000</v>
      </c>
      <c r="C162" s="38" t="s">
        <v>351</v>
      </c>
      <c r="D162" s="38" t="s">
        <v>352</v>
      </c>
      <c r="E162" s="38" t="s">
        <v>353</v>
      </c>
      <c r="F162" s="37"/>
      <c r="G162" s="37"/>
      <c r="H162" s="38" t="s">
        <v>349</v>
      </c>
      <c r="I162" s="37"/>
      <c r="J162" s="33">
        <v>1257</v>
      </c>
      <c r="K162" s="34" t="s">
        <v>19</v>
      </c>
    </row>
    <row r="163" ht="41" customHeight="1" spans="1:11">
      <c r="A163" s="35"/>
      <c r="B163" s="36">
        <v>13306030620001</v>
      </c>
      <c r="C163" s="38" t="s">
        <v>354</v>
      </c>
      <c r="D163" s="37"/>
      <c r="E163" s="37"/>
      <c r="F163" s="37"/>
      <c r="G163" s="37"/>
      <c r="H163" s="37" t="s">
        <v>349</v>
      </c>
      <c r="I163" s="37"/>
      <c r="J163" s="33">
        <f t="shared" si="5"/>
        <v>251.4</v>
      </c>
      <c r="K163" s="39"/>
    </row>
    <row r="164" ht="41" customHeight="1" spans="1:11">
      <c r="A164" s="40">
        <v>63</v>
      </c>
      <c r="B164" s="36">
        <v>13306030630000</v>
      </c>
      <c r="C164" s="38" t="s">
        <v>355</v>
      </c>
      <c r="D164" s="38" t="s">
        <v>356</v>
      </c>
      <c r="E164" s="38" t="s">
        <v>357</v>
      </c>
      <c r="F164" s="37"/>
      <c r="G164" s="37"/>
      <c r="H164" s="38" t="s">
        <v>35</v>
      </c>
      <c r="I164" s="37" t="s">
        <v>358</v>
      </c>
      <c r="J164" s="33">
        <v>1046</v>
      </c>
      <c r="K164" s="34" t="s">
        <v>19</v>
      </c>
    </row>
    <row r="165" ht="41" customHeight="1" spans="1:11">
      <c r="A165" s="35"/>
      <c r="B165" s="36">
        <v>13306030630001</v>
      </c>
      <c r="C165" s="37" t="s">
        <v>359</v>
      </c>
      <c r="D165" s="37"/>
      <c r="E165" s="37"/>
      <c r="F165" s="37"/>
      <c r="G165" s="37"/>
      <c r="H165" s="38" t="s">
        <v>35</v>
      </c>
      <c r="I165" s="37"/>
      <c r="J165" s="33">
        <f t="shared" si="5"/>
        <v>209.2</v>
      </c>
      <c r="K165" s="39"/>
    </row>
    <row r="166" ht="41" customHeight="1" spans="1:11">
      <c r="A166" s="40">
        <v>64</v>
      </c>
      <c r="B166" s="36">
        <v>13306030640000</v>
      </c>
      <c r="C166" s="38" t="s">
        <v>360</v>
      </c>
      <c r="D166" s="38" t="s">
        <v>361</v>
      </c>
      <c r="E166" s="38" t="s">
        <v>362</v>
      </c>
      <c r="F166" s="37"/>
      <c r="G166" s="37"/>
      <c r="H166" s="38" t="s">
        <v>35</v>
      </c>
      <c r="I166" s="37" t="s">
        <v>363</v>
      </c>
      <c r="J166" s="33">
        <v>1360</v>
      </c>
      <c r="K166" s="34" t="s">
        <v>19</v>
      </c>
    </row>
    <row r="167" ht="41" customHeight="1" spans="1:11">
      <c r="A167" s="35"/>
      <c r="B167" s="36">
        <v>13306030640001</v>
      </c>
      <c r="C167" s="37" t="s">
        <v>364</v>
      </c>
      <c r="D167" s="37"/>
      <c r="E167" s="37"/>
      <c r="F167" s="37"/>
      <c r="G167" s="37"/>
      <c r="H167" s="38" t="s">
        <v>35</v>
      </c>
      <c r="I167" s="37"/>
      <c r="J167" s="33">
        <f>+J166*0.2</f>
        <v>272</v>
      </c>
      <c r="K167" s="39"/>
    </row>
    <row r="168" ht="41" customHeight="1" spans="1:11">
      <c r="A168" s="40">
        <v>65</v>
      </c>
      <c r="B168" s="36">
        <v>13306030650000</v>
      </c>
      <c r="C168" s="38" t="s">
        <v>365</v>
      </c>
      <c r="D168" s="38" t="s">
        <v>366</v>
      </c>
      <c r="E168" s="38" t="s">
        <v>367</v>
      </c>
      <c r="F168" s="37"/>
      <c r="G168" s="37"/>
      <c r="H168" s="38" t="s">
        <v>45</v>
      </c>
      <c r="I168" s="37" t="s">
        <v>368</v>
      </c>
      <c r="J168" s="33">
        <v>2368</v>
      </c>
      <c r="K168" s="34" t="s">
        <v>19</v>
      </c>
    </row>
    <row r="169" ht="41" customHeight="1" spans="1:11">
      <c r="A169" s="35"/>
      <c r="B169" s="36">
        <v>13306030650001</v>
      </c>
      <c r="C169" s="37" t="s">
        <v>369</v>
      </c>
      <c r="D169" s="37"/>
      <c r="E169" s="37"/>
      <c r="F169" s="37"/>
      <c r="G169" s="37"/>
      <c r="H169" s="38" t="s">
        <v>45</v>
      </c>
      <c r="I169" s="37"/>
      <c r="J169" s="33">
        <f>+J168*0.2</f>
        <v>473.6</v>
      </c>
      <c r="K169" s="39"/>
    </row>
    <row r="170" s="21" customFormat="1" ht="41" customHeight="1" spans="1:11">
      <c r="A170" s="84">
        <v>66</v>
      </c>
      <c r="B170" s="44">
        <v>13306030660000</v>
      </c>
      <c r="C170" s="46" t="s">
        <v>370</v>
      </c>
      <c r="D170" s="45" t="s">
        <v>371</v>
      </c>
      <c r="E170" s="46" t="s">
        <v>372</v>
      </c>
      <c r="F170" s="45"/>
      <c r="G170" s="45"/>
      <c r="H170" s="46" t="s">
        <v>17</v>
      </c>
      <c r="I170" s="45"/>
      <c r="J170" s="47">
        <v>1092</v>
      </c>
      <c r="K170" s="85" t="s">
        <v>19</v>
      </c>
    </row>
    <row r="171" ht="41" customHeight="1" spans="1:11">
      <c r="A171" s="35"/>
      <c r="B171" s="36">
        <v>13306030660001</v>
      </c>
      <c r="C171" s="37" t="s">
        <v>373</v>
      </c>
      <c r="D171" s="37"/>
      <c r="E171" s="37"/>
      <c r="F171" s="37"/>
      <c r="G171" s="37"/>
      <c r="H171" s="38" t="s">
        <v>17</v>
      </c>
      <c r="I171" s="37"/>
      <c r="J171" s="33">
        <f>+J170*0.2</f>
        <v>218.4</v>
      </c>
      <c r="K171" s="34"/>
    </row>
    <row r="172" ht="41" customHeight="1" spans="1:11">
      <c r="A172" s="40">
        <v>67</v>
      </c>
      <c r="B172" s="36">
        <v>13306030670000</v>
      </c>
      <c r="C172" s="38" t="s">
        <v>374</v>
      </c>
      <c r="D172" s="38" t="s">
        <v>375</v>
      </c>
      <c r="E172" s="37" t="s">
        <v>376</v>
      </c>
      <c r="F172" s="37"/>
      <c r="G172" s="37"/>
      <c r="H172" s="38" t="s">
        <v>45</v>
      </c>
      <c r="I172" s="37" t="s">
        <v>377</v>
      </c>
      <c r="J172" s="33">
        <v>3156</v>
      </c>
      <c r="K172" s="34" t="s">
        <v>19</v>
      </c>
    </row>
    <row r="173" ht="41" customHeight="1" spans="1:11">
      <c r="A173" s="35"/>
      <c r="B173" s="36">
        <v>13306030670001</v>
      </c>
      <c r="C173" s="38" t="s">
        <v>378</v>
      </c>
      <c r="D173" s="37"/>
      <c r="E173" s="37"/>
      <c r="F173" s="37"/>
      <c r="G173" s="37"/>
      <c r="H173" s="38" t="s">
        <v>45</v>
      </c>
      <c r="I173" s="37"/>
      <c r="J173" s="33">
        <f t="shared" ref="J173:J177" si="6">+J172*0.2</f>
        <v>631.2</v>
      </c>
      <c r="K173" s="39"/>
    </row>
    <row r="174" ht="41" customHeight="1" spans="1:11">
      <c r="A174" s="40">
        <v>68</v>
      </c>
      <c r="B174" s="36">
        <v>13306030680000</v>
      </c>
      <c r="C174" s="38" t="s">
        <v>379</v>
      </c>
      <c r="D174" s="38" t="s">
        <v>380</v>
      </c>
      <c r="E174" s="37" t="s">
        <v>381</v>
      </c>
      <c r="F174" s="37"/>
      <c r="G174" s="37"/>
      <c r="H174" s="38" t="s">
        <v>45</v>
      </c>
      <c r="I174" s="38" t="s">
        <v>51</v>
      </c>
      <c r="J174" s="33">
        <v>1106</v>
      </c>
      <c r="K174" s="34" t="s">
        <v>19</v>
      </c>
    </row>
    <row r="175" ht="41" customHeight="1" spans="1:11">
      <c r="A175" s="35"/>
      <c r="B175" s="36">
        <v>13306030680001</v>
      </c>
      <c r="C175" s="37" t="s">
        <v>382</v>
      </c>
      <c r="D175" s="37"/>
      <c r="E175" s="37"/>
      <c r="F175" s="37"/>
      <c r="G175" s="37"/>
      <c r="H175" s="38" t="s">
        <v>45</v>
      </c>
      <c r="I175" s="37"/>
      <c r="J175" s="33">
        <f t="shared" si="6"/>
        <v>221.2</v>
      </c>
      <c r="K175" s="39"/>
    </row>
    <row r="176" ht="41" customHeight="1" spans="1:11">
      <c r="A176" s="40">
        <v>69</v>
      </c>
      <c r="B176" s="36">
        <v>13306030690000</v>
      </c>
      <c r="C176" s="38" t="s">
        <v>383</v>
      </c>
      <c r="D176" s="38" t="s">
        <v>384</v>
      </c>
      <c r="E176" s="37" t="s">
        <v>153</v>
      </c>
      <c r="F176" s="37"/>
      <c r="G176" s="37"/>
      <c r="H176" s="38" t="s">
        <v>17</v>
      </c>
      <c r="I176" s="37"/>
      <c r="J176" s="33">
        <v>810</v>
      </c>
      <c r="K176" s="34" t="s">
        <v>40</v>
      </c>
    </row>
    <row r="177" ht="41" customHeight="1" spans="1:11">
      <c r="A177" s="35"/>
      <c r="B177" s="36">
        <v>13306030690001</v>
      </c>
      <c r="C177" s="38" t="s">
        <v>385</v>
      </c>
      <c r="D177" s="37"/>
      <c r="E177" s="37"/>
      <c r="F177" s="37"/>
      <c r="G177" s="37"/>
      <c r="H177" s="38" t="s">
        <v>17</v>
      </c>
      <c r="I177" s="37"/>
      <c r="J177" s="33">
        <f t="shared" si="6"/>
        <v>162</v>
      </c>
      <c r="K177" s="39"/>
    </row>
    <row r="178" ht="41" customHeight="1" spans="1:11">
      <c r="A178" s="40">
        <v>70</v>
      </c>
      <c r="B178" s="36">
        <v>13306030700000</v>
      </c>
      <c r="C178" s="38" t="s">
        <v>386</v>
      </c>
      <c r="D178" s="72" t="s">
        <v>387</v>
      </c>
      <c r="E178" s="38" t="s">
        <v>388</v>
      </c>
      <c r="F178" s="37"/>
      <c r="G178" s="37"/>
      <c r="H178" s="37" t="s">
        <v>389</v>
      </c>
      <c r="I178" s="37"/>
      <c r="J178" s="33">
        <v>3387</v>
      </c>
      <c r="K178" s="34" t="s">
        <v>47</v>
      </c>
    </row>
    <row r="179" ht="41" customHeight="1" spans="1:11">
      <c r="A179" s="35"/>
      <c r="B179" s="36">
        <v>13306030700001</v>
      </c>
      <c r="C179" s="37" t="s">
        <v>390</v>
      </c>
      <c r="D179" s="37"/>
      <c r="E179" s="37"/>
      <c r="F179" s="37"/>
      <c r="G179" s="37"/>
      <c r="H179" s="37" t="s">
        <v>389</v>
      </c>
      <c r="I179" s="37"/>
      <c r="J179" s="73">
        <f>+J178*0.2</f>
        <v>677.4</v>
      </c>
      <c r="K179" s="39"/>
    </row>
    <row r="180" ht="41" customHeight="1" spans="1:11">
      <c r="A180" s="40">
        <v>71</v>
      </c>
      <c r="B180" s="36">
        <v>13306030710000</v>
      </c>
      <c r="C180" s="72" t="s">
        <v>391</v>
      </c>
      <c r="D180" s="37" t="s">
        <v>392</v>
      </c>
      <c r="E180" s="38" t="s">
        <v>393</v>
      </c>
      <c r="F180" s="37"/>
      <c r="G180" s="37"/>
      <c r="H180" s="72" t="s">
        <v>17</v>
      </c>
      <c r="I180" s="37"/>
      <c r="J180" s="33">
        <v>2868</v>
      </c>
      <c r="K180" s="34" t="s">
        <v>40</v>
      </c>
    </row>
    <row r="181" ht="41" customHeight="1" spans="1:11">
      <c r="A181" s="35"/>
      <c r="B181" s="36">
        <v>13306030710001</v>
      </c>
      <c r="C181" s="72" t="s">
        <v>394</v>
      </c>
      <c r="D181" s="37"/>
      <c r="E181" s="37"/>
      <c r="F181" s="37"/>
      <c r="G181" s="37"/>
      <c r="H181" s="72" t="s">
        <v>17</v>
      </c>
      <c r="I181" s="37"/>
      <c r="J181" s="33">
        <f>+J180*0.2</f>
        <v>573.6</v>
      </c>
      <c r="K181" s="39"/>
    </row>
    <row r="182" ht="41" customHeight="1" spans="1:11">
      <c r="A182" s="86">
        <v>1</v>
      </c>
      <c r="B182" s="36">
        <v>13105020010000</v>
      </c>
      <c r="C182" s="38" t="s">
        <v>395</v>
      </c>
      <c r="D182" s="38" t="s">
        <v>396</v>
      </c>
      <c r="E182" s="38" t="s">
        <v>397</v>
      </c>
      <c r="F182" s="37"/>
      <c r="G182" s="37"/>
      <c r="H182" s="38" t="s">
        <v>253</v>
      </c>
      <c r="I182" s="38" t="s">
        <v>398</v>
      </c>
      <c r="J182" s="33">
        <v>2767</v>
      </c>
      <c r="K182" s="34" t="s">
        <v>40</v>
      </c>
    </row>
    <row r="183" ht="41" customHeight="1" spans="1:11">
      <c r="A183" s="86">
        <v>2</v>
      </c>
      <c r="B183" s="36">
        <v>13105020020000</v>
      </c>
      <c r="C183" s="38" t="s">
        <v>399</v>
      </c>
      <c r="D183" s="38" t="s">
        <v>400</v>
      </c>
      <c r="E183" s="38" t="s">
        <v>397</v>
      </c>
      <c r="F183" s="37"/>
      <c r="G183" s="37"/>
      <c r="H183" s="38" t="s">
        <v>253</v>
      </c>
      <c r="I183" s="38" t="s">
        <v>401</v>
      </c>
      <c r="J183" s="33">
        <v>4150</v>
      </c>
      <c r="K183" s="34" t="s">
        <v>40</v>
      </c>
    </row>
    <row r="184" ht="41" customHeight="1" spans="1:11">
      <c r="A184" s="86">
        <v>3</v>
      </c>
      <c r="B184" s="36">
        <v>13105020030000</v>
      </c>
      <c r="C184" s="37" t="s">
        <v>402</v>
      </c>
      <c r="D184" s="38" t="s">
        <v>403</v>
      </c>
      <c r="E184" s="38" t="s">
        <v>397</v>
      </c>
      <c r="F184" s="37"/>
      <c r="G184" s="37"/>
      <c r="H184" s="38" t="s">
        <v>253</v>
      </c>
      <c r="I184" s="38" t="s">
        <v>404</v>
      </c>
      <c r="J184" s="33">
        <v>7200</v>
      </c>
      <c r="K184" s="34" t="s">
        <v>40</v>
      </c>
    </row>
    <row r="185" ht="41" customHeight="1" spans="1:11">
      <c r="A185" s="86">
        <v>4</v>
      </c>
      <c r="B185" s="36">
        <v>13105020040000</v>
      </c>
      <c r="C185" s="37" t="s">
        <v>405</v>
      </c>
      <c r="D185" s="38" t="s">
        <v>406</v>
      </c>
      <c r="E185" s="38" t="s">
        <v>397</v>
      </c>
      <c r="F185" s="37"/>
      <c r="G185" s="37"/>
      <c r="H185" s="38" t="s">
        <v>253</v>
      </c>
      <c r="I185" s="38" t="s">
        <v>407</v>
      </c>
      <c r="J185" s="87">
        <v>11475</v>
      </c>
      <c r="K185" s="34" t="s">
        <v>40</v>
      </c>
    </row>
    <row r="186" ht="41" customHeight="1" spans="1:11">
      <c r="A186" s="86">
        <v>5</v>
      </c>
      <c r="B186" s="36">
        <v>13105020050000</v>
      </c>
      <c r="C186" s="37" t="s">
        <v>408</v>
      </c>
      <c r="D186" s="38" t="s">
        <v>409</v>
      </c>
      <c r="E186" s="38" t="s">
        <v>397</v>
      </c>
      <c r="F186" s="37"/>
      <c r="G186" s="37"/>
      <c r="H186" s="38" t="s">
        <v>253</v>
      </c>
      <c r="I186" s="38" t="s">
        <v>404</v>
      </c>
      <c r="J186" s="33">
        <v>8000</v>
      </c>
      <c r="K186" s="34" t="s">
        <v>40</v>
      </c>
    </row>
    <row r="187" ht="41" customHeight="1" spans="1:11">
      <c r="A187" s="86">
        <v>6</v>
      </c>
      <c r="B187" s="36">
        <v>13105020060000</v>
      </c>
      <c r="C187" s="37" t="s">
        <v>410</v>
      </c>
      <c r="D187" s="38" t="s">
        <v>411</v>
      </c>
      <c r="E187" s="38" t="s">
        <v>397</v>
      </c>
      <c r="F187" s="37"/>
      <c r="G187" s="37"/>
      <c r="H187" s="38" t="s">
        <v>253</v>
      </c>
      <c r="I187" s="38" t="s">
        <v>412</v>
      </c>
      <c r="J187" s="33">
        <v>12750</v>
      </c>
      <c r="K187" s="34" t="s">
        <v>40</v>
      </c>
    </row>
    <row r="188" ht="41" customHeight="1" spans="1:11">
      <c r="A188" s="86">
        <v>7</v>
      </c>
      <c r="B188" s="36">
        <v>13105020070000</v>
      </c>
      <c r="C188" s="38" t="s">
        <v>413</v>
      </c>
      <c r="D188" s="38" t="s">
        <v>414</v>
      </c>
      <c r="E188" s="38" t="s">
        <v>397</v>
      </c>
      <c r="F188" s="37"/>
      <c r="G188" s="37"/>
      <c r="H188" s="38" t="s">
        <v>253</v>
      </c>
      <c r="I188" s="38" t="s">
        <v>404</v>
      </c>
      <c r="J188" s="33">
        <v>9600</v>
      </c>
      <c r="K188" s="34" t="s">
        <v>40</v>
      </c>
    </row>
    <row r="189" ht="41" customHeight="1" spans="1:11">
      <c r="A189" s="88">
        <v>8</v>
      </c>
      <c r="B189" s="158" t="s">
        <v>415</v>
      </c>
      <c r="C189" s="88" t="s">
        <v>416</v>
      </c>
      <c r="D189" s="88" t="s">
        <v>417</v>
      </c>
      <c r="E189" s="88" t="s">
        <v>418</v>
      </c>
      <c r="F189" s="88"/>
      <c r="G189" s="88"/>
      <c r="H189" s="88" t="s">
        <v>253</v>
      </c>
      <c r="I189" s="89" t="s">
        <v>419</v>
      </c>
      <c r="J189" s="59">
        <v>15300</v>
      </c>
      <c r="K189" s="57" t="s">
        <v>40</v>
      </c>
    </row>
    <row r="190" ht="41" customHeight="1" spans="1:11">
      <c r="A190" s="57">
        <v>9</v>
      </c>
      <c r="B190" s="156" t="s">
        <v>420</v>
      </c>
      <c r="C190" s="57" t="s">
        <v>421</v>
      </c>
      <c r="D190" s="57" t="s">
        <v>422</v>
      </c>
      <c r="E190" s="57" t="s">
        <v>418</v>
      </c>
      <c r="F190" s="57"/>
      <c r="G190" s="57"/>
      <c r="H190" s="57" t="s">
        <v>253</v>
      </c>
      <c r="I190" s="58" t="s">
        <v>423</v>
      </c>
      <c r="J190" s="59">
        <v>15200</v>
      </c>
      <c r="K190" s="57" t="s">
        <v>40</v>
      </c>
    </row>
    <row r="191" ht="41" customHeight="1" spans="1:11">
      <c r="A191" s="57">
        <v>10</v>
      </c>
      <c r="B191" s="156" t="s">
        <v>424</v>
      </c>
      <c r="C191" s="57" t="s">
        <v>425</v>
      </c>
      <c r="D191" s="57" t="s">
        <v>426</v>
      </c>
      <c r="E191" s="57" t="s">
        <v>418</v>
      </c>
      <c r="F191" s="57"/>
      <c r="G191" s="57"/>
      <c r="H191" s="57" t="s">
        <v>253</v>
      </c>
      <c r="I191" s="58" t="s">
        <v>427</v>
      </c>
      <c r="J191" s="59">
        <v>25415</v>
      </c>
      <c r="K191" s="57" t="s">
        <v>40</v>
      </c>
    </row>
    <row r="192" ht="41" customHeight="1" spans="1:11">
      <c r="A192" s="57">
        <v>11</v>
      </c>
      <c r="B192" s="156" t="s">
        <v>428</v>
      </c>
      <c r="C192" s="57" t="s">
        <v>429</v>
      </c>
      <c r="D192" s="57" t="s">
        <v>430</v>
      </c>
      <c r="E192" s="57" t="s">
        <v>418</v>
      </c>
      <c r="F192" s="57"/>
      <c r="G192" s="57"/>
      <c r="H192" s="57" t="s">
        <v>253</v>
      </c>
      <c r="I192" s="58" t="s">
        <v>423</v>
      </c>
      <c r="J192" s="59">
        <v>20800</v>
      </c>
      <c r="K192" s="57" t="s">
        <v>40</v>
      </c>
    </row>
    <row r="193" ht="41" customHeight="1" spans="1:11">
      <c r="A193" s="57">
        <v>12</v>
      </c>
      <c r="B193" s="156" t="s">
        <v>431</v>
      </c>
      <c r="C193" s="57" t="s">
        <v>432</v>
      </c>
      <c r="D193" s="57" t="s">
        <v>433</v>
      </c>
      <c r="E193" s="57" t="s">
        <v>418</v>
      </c>
      <c r="F193" s="57"/>
      <c r="G193" s="57"/>
      <c r="H193" s="57" t="s">
        <v>253</v>
      </c>
      <c r="I193" s="90" t="s">
        <v>434</v>
      </c>
      <c r="J193" s="59">
        <v>33150</v>
      </c>
      <c r="K193" s="57" t="s">
        <v>40</v>
      </c>
    </row>
    <row r="194" ht="41" customHeight="1" spans="1:11">
      <c r="A194" s="57">
        <v>13</v>
      </c>
      <c r="B194" s="156" t="s">
        <v>435</v>
      </c>
      <c r="C194" s="57" t="s">
        <v>436</v>
      </c>
      <c r="D194" s="57" t="s">
        <v>437</v>
      </c>
      <c r="E194" s="57" t="s">
        <v>418</v>
      </c>
      <c r="F194" s="57"/>
      <c r="G194" s="57"/>
      <c r="H194" s="57" t="s">
        <v>253</v>
      </c>
      <c r="I194" s="58" t="s">
        <v>438</v>
      </c>
      <c r="J194" s="59">
        <v>20800</v>
      </c>
      <c r="K194" s="57" t="s">
        <v>40</v>
      </c>
    </row>
    <row r="195" ht="41" customHeight="1" spans="1:11">
      <c r="A195" s="57">
        <v>14</v>
      </c>
      <c r="B195" s="156" t="s">
        <v>439</v>
      </c>
      <c r="C195" s="57" t="s">
        <v>440</v>
      </c>
      <c r="D195" s="57" t="s">
        <v>441</v>
      </c>
      <c r="E195" s="57" t="s">
        <v>418</v>
      </c>
      <c r="F195" s="57"/>
      <c r="G195" s="57"/>
      <c r="H195" s="57" t="s">
        <v>253</v>
      </c>
      <c r="I195" s="90" t="s">
        <v>442</v>
      </c>
      <c r="J195" s="59">
        <v>32300</v>
      </c>
      <c r="K195" s="57" t="s">
        <v>40</v>
      </c>
    </row>
    <row r="196" ht="41" customHeight="1" spans="1:11">
      <c r="A196" s="57">
        <v>15</v>
      </c>
      <c r="B196" s="156" t="s">
        <v>443</v>
      </c>
      <c r="C196" s="57" t="s">
        <v>444</v>
      </c>
      <c r="D196" s="57" t="s">
        <v>445</v>
      </c>
      <c r="E196" s="57" t="s">
        <v>418</v>
      </c>
      <c r="F196" s="57"/>
      <c r="G196" s="57"/>
      <c r="H196" s="57" t="s">
        <v>253</v>
      </c>
      <c r="I196" s="58" t="s">
        <v>446</v>
      </c>
      <c r="J196" s="59">
        <v>7200</v>
      </c>
      <c r="K196" s="57" t="s">
        <v>40</v>
      </c>
    </row>
    <row r="197" ht="41" customHeight="1" spans="1:11">
      <c r="A197" s="86">
        <v>16</v>
      </c>
      <c r="B197" s="36">
        <v>13105020160000</v>
      </c>
      <c r="C197" s="38" t="s">
        <v>447</v>
      </c>
      <c r="D197" s="38" t="s">
        <v>448</v>
      </c>
      <c r="E197" s="38" t="s">
        <v>397</v>
      </c>
      <c r="F197" s="37"/>
      <c r="G197" s="37"/>
      <c r="H197" s="38" t="s">
        <v>253</v>
      </c>
      <c r="I197" s="38" t="s">
        <v>449</v>
      </c>
      <c r="J197" s="33">
        <v>8000</v>
      </c>
      <c r="K197" s="34" t="s">
        <v>40</v>
      </c>
    </row>
    <row r="198" ht="41" customHeight="1" spans="1:11">
      <c r="A198" s="86">
        <v>17</v>
      </c>
      <c r="B198" s="36">
        <v>13105020170000</v>
      </c>
      <c r="C198" s="38" t="s">
        <v>450</v>
      </c>
      <c r="D198" s="38" t="s">
        <v>451</v>
      </c>
      <c r="E198" s="38" t="s">
        <v>397</v>
      </c>
      <c r="F198" s="37"/>
      <c r="G198" s="37"/>
      <c r="H198" s="38" t="s">
        <v>253</v>
      </c>
      <c r="I198" s="38" t="s">
        <v>449</v>
      </c>
      <c r="J198" s="33">
        <v>9600</v>
      </c>
      <c r="K198" s="34" t="s">
        <v>40</v>
      </c>
    </row>
    <row r="199" ht="41" customHeight="1" spans="1:11">
      <c r="A199" s="86">
        <v>18</v>
      </c>
      <c r="B199" s="36">
        <v>13105020180000</v>
      </c>
      <c r="C199" s="38" t="s">
        <v>452</v>
      </c>
      <c r="D199" s="38" t="s">
        <v>453</v>
      </c>
      <c r="E199" s="38" t="s">
        <v>454</v>
      </c>
      <c r="F199" s="37"/>
      <c r="G199" s="37"/>
      <c r="H199" s="38" t="s">
        <v>253</v>
      </c>
      <c r="I199" s="37"/>
      <c r="J199" s="33">
        <v>2800</v>
      </c>
      <c r="K199" s="34" t="s">
        <v>40</v>
      </c>
    </row>
    <row r="200" ht="41" customHeight="1" spans="1:11">
      <c r="A200" s="86">
        <v>19</v>
      </c>
      <c r="B200" s="36">
        <v>13105020190000</v>
      </c>
      <c r="C200" s="38" t="s">
        <v>455</v>
      </c>
      <c r="D200" s="38" t="s">
        <v>456</v>
      </c>
      <c r="E200" s="38" t="s">
        <v>457</v>
      </c>
      <c r="F200" s="37"/>
      <c r="G200" s="37"/>
      <c r="H200" s="38" t="s">
        <v>253</v>
      </c>
      <c r="I200" s="37"/>
      <c r="J200" s="33">
        <v>7500</v>
      </c>
      <c r="K200" s="34" t="s">
        <v>40</v>
      </c>
    </row>
    <row r="201" ht="41" customHeight="1" spans="1:11">
      <c r="A201" s="86">
        <v>20</v>
      </c>
      <c r="B201" s="36">
        <v>13105020200000</v>
      </c>
      <c r="C201" s="38" t="s">
        <v>458</v>
      </c>
      <c r="D201" s="38" t="s">
        <v>459</v>
      </c>
      <c r="E201" s="38" t="s">
        <v>397</v>
      </c>
      <c r="F201" s="37"/>
      <c r="G201" s="37"/>
      <c r="H201" s="38" t="s">
        <v>460</v>
      </c>
      <c r="I201" s="38" t="s">
        <v>461</v>
      </c>
      <c r="J201" s="33">
        <v>6400</v>
      </c>
      <c r="K201" s="34" t="s">
        <v>40</v>
      </c>
    </row>
    <row r="202" ht="41" customHeight="1" spans="1:11">
      <c r="A202" s="86">
        <v>21</v>
      </c>
      <c r="B202" s="36">
        <v>13105020210000</v>
      </c>
      <c r="C202" s="38" t="s">
        <v>462</v>
      </c>
      <c r="D202" s="38" t="s">
        <v>463</v>
      </c>
      <c r="E202" s="38" t="s">
        <v>464</v>
      </c>
      <c r="F202" s="37"/>
      <c r="G202" s="37"/>
      <c r="H202" s="38" t="s">
        <v>465</v>
      </c>
      <c r="I202" s="37"/>
      <c r="J202" s="33">
        <v>540</v>
      </c>
      <c r="K202" s="34" t="s">
        <v>40</v>
      </c>
    </row>
    <row r="203" ht="41" customHeight="1" spans="1:11">
      <c r="A203" s="86">
        <v>22</v>
      </c>
      <c r="B203" s="36">
        <v>13105020220000</v>
      </c>
      <c r="C203" s="38" t="s">
        <v>466</v>
      </c>
      <c r="D203" s="38" t="s">
        <v>467</v>
      </c>
      <c r="E203" s="38" t="s">
        <v>468</v>
      </c>
      <c r="F203" s="37"/>
      <c r="G203" s="37"/>
      <c r="H203" s="38" t="s">
        <v>465</v>
      </c>
      <c r="I203" s="37"/>
      <c r="J203" s="33">
        <v>270</v>
      </c>
      <c r="K203" s="34" t="s">
        <v>40</v>
      </c>
    </row>
    <row r="204" ht="41" customHeight="1" spans="1:11">
      <c r="A204" s="86">
        <v>23</v>
      </c>
      <c r="B204" s="36">
        <v>13105020230000</v>
      </c>
      <c r="C204" s="38" t="s">
        <v>469</v>
      </c>
      <c r="D204" s="38" t="s">
        <v>470</v>
      </c>
      <c r="E204" s="38" t="s">
        <v>471</v>
      </c>
      <c r="F204" s="37"/>
      <c r="G204" s="37"/>
      <c r="H204" s="38" t="s">
        <v>35</v>
      </c>
      <c r="I204" s="38" t="s">
        <v>472</v>
      </c>
      <c r="J204" s="33">
        <v>894</v>
      </c>
      <c r="K204" s="34" t="s">
        <v>40</v>
      </c>
    </row>
    <row r="205" ht="41" customHeight="1" spans="1:11">
      <c r="A205" s="40">
        <v>24</v>
      </c>
      <c r="B205" s="36">
        <v>13306020010000</v>
      </c>
      <c r="C205" s="38" t="s">
        <v>473</v>
      </c>
      <c r="D205" s="38" t="s">
        <v>474</v>
      </c>
      <c r="E205" s="38" t="s">
        <v>475</v>
      </c>
      <c r="F205" s="37"/>
      <c r="G205" s="37"/>
      <c r="H205" s="91" t="s">
        <v>476</v>
      </c>
      <c r="I205" s="37"/>
      <c r="J205" s="33">
        <v>373</v>
      </c>
      <c r="K205" s="34" t="s">
        <v>40</v>
      </c>
    </row>
    <row r="206" ht="41" customHeight="1" spans="1:11">
      <c r="A206" s="35"/>
      <c r="B206" s="36">
        <v>13306020010001</v>
      </c>
      <c r="C206" s="38" t="s">
        <v>477</v>
      </c>
      <c r="D206" s="37"/>
      <c r="E206" s="37"/>
      <c r="F206" s="37"/>
      <c r="G206" s="37"/>
      <c r="H206" s="91" t="s">
        <v>476</v>
      </c>
      <c r="I206" s="37"/>
      <c r="J206" s="92">
        <f>373*0.2</f>
        <v>74.6</v>
      </c>
      <c r="K206" s="93" t="s">
        <v>40</v>
      </c>
    </row>
    <row r="207" ht="41" customHeight="1" spans="1:11">
      <c r="A207" s="86">
        <v>25</v>
      </c>
      <c r="B207" s="36">
        <v>13105010330000</v>
      </c>
      <c r="C207" s="38" t="s">
        <v>478</v>
      </c>
      <c r="D207" s="91" t="s">
        <v>479</v>
      </c>
      <c r="E207" s="38" t="s">
        <v>480</v>
      </c>
      <c r="F207" s="37"/>
      <c r="G207" s="37"/>
      <c r="H207" s="91" t="s">
        <v>481</v>
      </c>
      <c r="I207" s="37"/>
      <c r="J207" s="33">
        <v>300</v>
      </c>
      <c r="K207" s="93" t="s">
        <v>40</v>
      </c>
    </row>
    <row r="208" ht="41" customHeight="1" spans="1:11">
      <c r="A208" s="86">
        <v>26</v>
      </c>
      <c r="B208" s="36">
        <v>12406000010000</v>
      </c>
      <c r="C208" s="38" t="s">
        <v>482</v>
      </c>
      <c r="D208" s="91" t="s">
        <v>483</v>
      </c>
      <c r="E208" s="38" t="s">
        <v>484</v>
      </c>
      <c r="F208" s="37"/>
      <c r="G208" s="37"/>
      <c r="H208" s="91" t="s">
        <v>481</v>
      </c>
      <c r="I208" s="37"/>
      <c r="J208" s="33">
        <v>3</v>
      </c>
      <c r="K208" s="34" t="s">
        <v>19</v>
      </c>
    </row>
    <row r="209" ht="41" customHeight="1" spans="1:11">
      <c r="A209" s="86">
        <v>27</v>
      </c>
      <c r="B209" s="36">
        <v>13105010010000</v>
      </c>
      <c r="C209" s="91" t="s">
        <v>485</v>
      </c>
      <c r="D209" s="91" t="s">
        <v>486</v>
      </c>
      <c r="E209" s="38" t="s">
        <v>487</v>
      </c>
      <c r="F209" s="37"/>
      <c r="G209" s="37"/>
      <c r="H209" s="91" t="s">
        <v>35</v>
      </c>
      <c r="I209" s="37"/>
      <c r="J209" s="33">
        <v>33</v>
      </c>
      <c r="K209" s="34" t="s">
        <v>40</v>
      </c>
    </row>
    <row r="210" ht="41" customHeight="1" spans="1:11">
      <c r="A210" s="40">
        <v>28</v>
      </c>
      <c r="B210" s="36">
        <v>13105010020000</v>
      </c>
      <c r="C210" s="91" t="s">
        <v>488</v>
      </c>
      <c r="D210" s="38" t="s">
        <v>489</v>
      </c>
      <c r="E210" s="38" t="s">
        <v>490</v>
      </c>
      <c r="F210" s="38" t="s">
        <v>491</v>
      </c>
      <c r="G210" s="37"/>
      <c r="H210" s="91" t="s">
        <v>481</v>
      </c>
      <c r="I210" s="38" t="s">
        <v>492</v>
      </c>
      <c r="J210" s="33">
        <v>128</v>
      </c>
      <c r="K210" s="34" t="s">
        <v>19</v>
      </c>
    </row>
    <row r="211" ht="41" customHeight="1" spans="1:11">
      <c r="A211" s="35"/>
      <c r="B211" s="36">
        <v>13105010020001</v>
      </c>
      <c r="C211" s="38" t="s">
        <v>493</v>
      </c>
      <c r="D211" s="37"/>
      <c r="E211" s="37"/>
      <c r="F211" s="37"/>
      <c r="G211" s="37"/>
      <c r="H211" s="38" t="s">
        <v>481</v>
      </c>
      <c r="I211" s="37"/>
      <c r="J211" s="33">
        <f>128*0.2</f>
        <v>25.6</v>
      </c>
      <c r="K211" s="34" t="s">
        <v>19</v>
      </c>
    </row>
    <row r="212" ht="41" customHeight="1" spans="1:11">
      <c r="A212" s="40">
        <v>29</v>
      </c>
      <c r="B212" s="36">
        <v>13105010030000</v>
      </c>
      <c r="C212" s="91" t="s">
        <v>494</v>
      </c>
      <c r="D212" s="91" t="s">
        <v>495</v>
      </c>
      <c r="E212" s="38" t="s">
        <v>496</v>
      </c>
      <c r="F212" s="38" t="s">
        <v>491</v>
      </c>
      <c r="G212" s="37"/>
      <c r="H212" s="91" t="s">
        <v>481</v>
      </c>
      <c r="I212" s="37"/>
      <c r="J212" s="33">
        <v>20</v>
      </c>
      <c r="K212" s="34" t="s">
        <v>19</v>
      </c>
    </row>
    <row r="213" ht="41" customHeight="1" spans="1:11">
      <c r="A213" s="35"/>
      <c r="B213" s="36">
        <v>13105010030001</v>
      </c>
      <c r="C213" s="38" t="s">
        <v>497</v>
      </c>
      <c r="D213" s="37"/>
      <c r="E213" s="37"/>
      <c r="F213" s="37"/>
      <c r="G213" s="37"/>
      <c r="H213" s="91" t="s">
        <v>481</v>
      </c>
      <c r="I213" s="37"/>
      <c r="J213" s="33">
        <f>20*0.2</f>
        <v>4</v>
      </c>
      <c r="K213" s="34" t="s">
        <v>19</v>
      </c>
    </row>
    <row r="214" ht="41" customHeight="1" spans="1:11">
      <c r="A214" s="86">
        <v>30</v>
      </c>
      <c r="B214" s="36">
        <v>13105010040000</v>
      </c>
      <c r="C214" s="38" t="s">
        <v>498</v>
      </c>
      <c r="D214" s="91" t="s">
        <v>499</v>
      </c>
      <c r="E214" s="38" t="s">
        <v>500</v>
      </c>
      <c r="F214" s="37"/>
      <c r="G214" s="37"/>
      <c r="H214" s="91" t="s">
        <v>481</v>
      </c>
      <c r="I214" s="37"/>
      <c r="J214" s="33">
        <v>10</v>
      </c>
      <c r="K214" s="34" t="s">
        <v>19</v>
      </c>
    </row>
    <row r="215" ht="41" customHeight="1" spans="1:11">
      <c r="A215" s="40">
        <v>31</v>
      </c>
      <c r="B215" s="36">
        <v>13105010050000</v>
      </c>
      <c r="C215" s="38" t="s">
        <v>501</v>
      </c>
      <c r="D215" s="38" t="s">
        <v>502</v>
      </c>
      <c r="E215" s="38" t="s">
        <v>503</v>
      </c>
      <c r="F215" s="38" t="s">
        <v>504</v>
      </c>
      <c r="G215" s="37"/>
      <c r="H215" s="38" t="s">
        <v>505</v>
      </c>
      <c r="I215" s="38" t="s">
        <v>506</v>
      </c>
      <c r="J215" s="33">
        <v>153</v>
      </c>
      <c r="K215" s="34" t="s">
        <v>19</v>
      </c>
    </row>
    <row r="216" ht="41" customHeight="1" spans="1:11">
      <c r="A216" s="29"/>
      <c r="B216" s="36">
        <v>13105010050001</v>
      </c>
      <c r="C216" s="38" t="s">
        <v>507</v>
      </c>
      <c r="D216" s="37"/>
      <c r="E216" s="37"/>
      <c r="F216" s="37"/>
      <c r="G216" s="37"/>
      <c r="H216" s="38" t="s">
        <v>505</v>
      </c>
      <c r="I216" s="37"/>
      <c r="J216" s="33">
        <f>153*0.2</f>
        <v>30.6</v>
      </c>
      <c r="K216" s="34" t="s">
        <v>19</v>
      </c>
    </row>
    <row r="217" ht="41" customHeight="1" spans="1:11">
      <c r="A217" s="35"/>
      <c r="B217" s="36">
        <v>13105010050011</v>
      </c>
      <c r="C217" s="38" t="s">
        <v>508</v>
      </c>
      <c r="D217" s="37"/>
      <c r="E217" s="37"/>
      <c r="F217" s="37"/>
      <c r="G217" s="37"/>
      <c r="H217" s="38" t="s">
        <v>505</v>
      </c>
      <c r="I217" s="37"/>
      <c r="J217" s="33">
        <f>153*0.7</f>
        <v>107.1</v>
      </c>
      <c r="K217" s="34" t="s">
        <v>19</v>
      </c>
    </row>
    <row r="218" ht="41" customHeight="1" spans="1:11">
      <c r="A218" s="40">
        <v>32</v>
      </c>
      <c r="B218" s="36">
        <v>13105010060000</v>
      </c>
      <c r="C218" s="38" t="s">
        <v>509</v>
      </c>
      <c r="D218" s="38" t="s">
        <v>510</v>
      </c>
      <c r="E218" s="38" t="s">
        <v>511</v>
      </c>
      <c r="F218" s="37"/>
      <c r="G218" s="38" t="s">
        <v>512</v>
      </c>
      <c r="H218" s="38" t="s">
        <v>505</v>
      </c>
      <c r="I218" s="37"/>
      <c r="J218" s="33">
        <v>16</v>
      </c>
      <c r="K218" s="34" t="s">
        <v>19</v>
      </c>
    </row>
    <row r="219" ht="41" customHeight="1" spans="1:11">
      <c r="A219" s="35"/>
      <c r="B219" s="36">
        <v>13105010060100</v>
      </c>
      <c r="C219" s="38" t="s">
        <v>513</v>
      </c>
      <c r="D219" s="37"/>
      <c r="E219" s="37"/>
      <c r="F219" s="37"/>
      <c r="G219" s="37"/>
      <c r="H219" s="38" t="s">
        <v>505</v>
      </c>
      <c r="I219" s="37"/>
      <c r="J219" s="33">
        <v>16</v>
      </c>
      <c r="K219" s="34" t="s">
        <v>40</v>
      </c>
    </row>
    <row r="220" ht="41" customHeight="1" spans="1:11">
      <c r="A220" s="40">
        <v>33</v>
      </c>
      <c r="B220" s="36">
        <v>13105010070000</v>
      </c>
      <c r="C220" s="38" t="s">
        <v>514</v>
      </c>
      <c r="D220" s="38" t="s">
        <v>515</v>
      </c>
      <c r="E220" s="38" t="s">
        <v>516</v>
      </c>
      <c r="F220" s="38" t="s">
        <v>504</v>
      </c>
      <c r="G220" s="38" t="s">
        <v>517</v>
      </c>
      <c r="H220" s="38" t="s">
        <v>505</v>
      </c>
      <c r="I220" s="38" t="s">
        <v>518</v>
      </c>
      <c r="J220" s="33">
        <v>138</v>
      </c>
      <c r="K220" s="34" t="s">
        <v>19</v>
      </c>
    </row>
    <row r="221" ht="41" customHeight="1" spans="1:11">
      <c r="A221" s="29"/>
      <c r="B221" s="36">
        <v>13105010070001</v>
      </c>
      <c r="C221" s="38" t="s">
        <v>519</v>
      </c>
      <c r="D221" s="37"/>
      <c r="E221" s="37"/>
      <c r="F221" s="37"/>
      <c r="G221" s="37"/>
      <c r="H221" s="38" t="s">
        <v>505</v>
      </c>
      <c r="I221" s="37"/>
      <c r="J221" s="33">
        <f>138*0.2</f>
        <v>27.6</v>
      </c>
      <c r="K221" s="34" t="s">
        <v>19</v>
      </c>
    </row>
    <row r="222" ht="41" customHeight="1" spans="1:11">
      <c r="A222" s="29"/>
      <c r="B222" s="36">
        <v>13105010070011</v>
      </c>
      <c r="C222" s="38" t="s">
        <v>520</v>
      </c>
      <c r="D222" s="37"/>
      <c r="E222" s="37"/>
      <c r="F222" s="37"/>
      <c r="G222" s="37"/>
      <c r="H222" s="38" t="s">
        <v>505</v>
      </c>
      <c r="I222" s="37"/>
      <c r="J222" s="33">
        <f>138*0.5</f>
        <v>69</v>
      </c>
      <c r="K222" s="34" t="s">
        <v>19</v>
      </c>
    </row>
    <row r="223" ht="41" customHeight="1" spans="1:11">
      <c r="A223" s="35"/>
      <c r="B223" s="36">
        <v>13105010070100</v>
      </c>
      <c r="C223" s="38" t="s">
        <v>521</v>
      </c>
      <c r="D223" s="37"/>
      <c r="E223" s="37"/>
      <c r="F223" s="37"/>
      <c r="G223" s="37"/>
      <c r="H223" s="38" t="s">
        <v>505</v>
      </c>
      <c r="I223" s="37"/>
      <c r="J223" s="33">
        <v>138</v>
      </c>
      <c r="K223" s="34" t="s">
        <v>19</v>
      </c>
    </row>
    <row r="224" ht="41" customHeight="1" spans="1:11">
      <c r="A224" s="86">
        <v>34</v>
      </c>
      <c r="B224" s="36">
        <v>13105010080000</v>
      </c>
      <c r="C224" s="38" t="s">
        <v>522</v>
      </c>
      <c r="D224" s="38" t="s">
        <v>523</v>
      </c>
      <c r="E224" s="38" t="s">
        <v>524</v>
      </c>
      <c r="F224" s="37"/>
      <c r="G224" s="37"/>
      <c r="H224" s="38" t="s">
        <v>505</v>
      </c>
      <c r="I224" s="38" t="s">
        <v>18</v>
      </c>
      <c r="J224" s="33">
        <v>184</v>
      </c>
      <c r="K224" s="34" t="s">
        <v>19</v>
      </c>
    </row>
    <row r="225" ht="41" customHeight="1" spans="1:11">
      <c r="A225" s="86">
        <v>35</v>
      </c>
      <c r="B225" s="36">
        <v>13105010090000</v>
      </c>
      <c r="C225" s="38" t="s">
        <v>525</v>
      </c>
      <c r="D225" s="38" t="s">
        <v>526</v>
      </c>
      <c r="E225" s="38" t="s">
        <v>527</v>
      </c>
      <c r="F225" s="38" t="s">
        <v>528</v>
      </c>
      <c r="G225" s="37"/>
      <c r="H225" s="38" t="s">
        <v>505</v>
      </c>
      <c r="I225" s="38" t="s">
        <v>529</v>
      </c>
      <c r="J225" s="33">
        <v>1350</v>
      </c>
      <c r="K225" s="34" t="s">
        <v>19</v>
      </c>
    </row>
    <row r="226" ht="41" customHeight="1" spans="1:11">
      <c r="A226" s="94"/>
      <c r="B226" s="36">
        <v>13105010090001</v>
      </c>
      <c r="C226" s="72" t="s">
        <v>530</v>
      </c>
      <c r="D226" s="37"/>
      <c r="E226" s="37"/>
      <c r="F226" s="37"/>
      <c r="G226" s="37"/>
      <c r="H226" s="72" t="s">
        <v>505</v>
      </c>
      <c r="I226" s="37"/>
      <c r="J226" s="73">
        <f>1350*0.5</f>
        <v>675</v>
      </c>
      <c r="K226" s="34" t="s">
        <v>19</v>
      </c>
    </row>
    <row r="227" ht="41" customHeight="1" spans="1:11">
      <c r="A227" s="40">
        <v>36</v>
      </c>
      <c r="B227" s="36">
        <v>13306020020000</v>
      </c>
      <c r="C227" s="72" t="s">
        <v>531</v>
      </c>
      <c r="D227" s="72" t="s">
        <v>532</v>
      </c>
      <c r="E227" s="72" t="s">
        <v>533</v>
      </c>
      <c r="F227" s="37"/>
      <c r="G227" s="37"/>
      <c r="H227" s="72" t="s">
        <v>505</v>
      </c>
      <c r="I227" s="72" t="s">
        <v>18</v>
      </c>
      <c r="J227" s="33">
        <v>108</v>
      </c>
      <c r="K227" s="95" t="s">
        <v>40</v>
      </c>
    </row>
    <row r="228" ht="41" customHeight="1" spans="1:11">
      <c r="A228" s="35"/>
      <c r="B228" s="36">
        <v>13306020020001</v>
      </c>
      <c r="C228" s="72" t="s">
        <v>534</v>
      </c>
      <c r="D228" s="37"/>
      <c r="E228" s="37"/>
      <c r="F228" s="37"/>
      <c r="G228" s="37"/>
      <c r="H228" s="72" t="s">
        <v>505</v>
      </c>
      <c r="I228" s="37"/>
      <c r="J228" s="33">
        <f>108*0.2</f>
        <v>21.6</v>
      </c>
      <c r="K228" s="34" t="s">
        <v>40</v>
      </c>
    </row>
    <row r="229" ht="41" customHeight="1" spans="1:11">
      <c r="A229" s="40">
        <v>37</v>
      </c>
      <c r="B229" s="36">
        <v>13306020030000</v>
      </c>
      <c r="C229" s="72" t="s">
        <v>535</v>
      </c>
      <c r="D229" s="72" t="s">
        <v>536</v>
      </c>
      <c r="E229" s="72" t="s">
        <v>537</v>
      </c>
      <c r="F229" s="37"/>
      <c r="G229" s="38" t="s">
        <v>538</v>
      </c>
      <c r="H229" s="72" t="s">
        <v>505</v>
      </c>
      <c r="I229" s="38" t="s">
        <v>539</v>
      </c>
      <c r="J229" s="33">
        <v>374</v>
      </c>
      <c r="K229" s="34" t="s">
        <v>19</v>
      </c>
    </row>
    <row r="230" ht="41" customHeight="1" spans="1:11">
      <c r="A230" s="29"/>
      <c r="B230" s="36">
        <v>13306020030001</v>
      </c>
      <c r="C230" s="38" t="s">
        <v>540</v>
      </c>
      <c r="D230" s="37"/>
      <c r="E230" s="37"/>
      <c r="F230" s="37"/>
      <c r="G230" s="37"/>
      <c r="H230" s="72" t="s">
        <v>505</v>
      </c>
      <c r="I230" s="37"/>
      <c r="J230" s="73">
        <f>374*0.2</f>
        <v>74.8</v>
      </c>
      <c r="K230" s="34" t="s">
        <v>19</v>
      </c>
    </row>
    <row r="231" ht="41" customHeight="1" spans="1:11">
      <c r="A231" s="35"/>
      <c r="B231" s="36">
        <v>13306020030100</v>
      </c>
      <c r="C231" s="72" t="s">
        <v>541</v>
      </c>
      <c r="D231" s="37"/>
      <c r="E231" s="37"/>
      <c r="F231" s="37"/>
      <c r="G231" s="37"/>
      <c r="H231" s="72" t="s">
        <v>505</v>
      </c>
      <c r="I231" s="37"/>
      <c r="J231" s="73">
        <v>374</v>
      </c>
      <c r="K231" s="34" t="s">
        <v>19</v>
      </c>
    </row>
    <row r="232" ht="41" customHeight="1" spans="1:11">
      <c r="A232" s="40">
        <v>38</v>
      </c>
      <c r="B232" s="36">
        <v>13306020040000</v>
      </c>
      <c r="C232" s="72" t="s">
        <v>542</v>
      </c>
      <c r="D232" s="72" t="s">
        <v>543</v>
      </c>
      <c r="E232" s="38" t="s">
        <v>544</v>
      </c>
      <c r="F232" s="38" t="s">
        <v>545</v>
      </c>
      <c r="G232" s="37"/>
      <c r="H232" s="72" t="s">
        <v>505</v>
      </c>
      <c r="I232" s="38" t="s">
        <v>546</v>
      </c>
      <c r="J232" s="33">
        <v>820</v>
      </c>
      <c r="K232" s="34" t="s">
        <v>19</v>
      </c>
    </row>
    <row r="233" ht="41" customHeight="1" spans="1:11">
      <c r="A233" s="29"/>
      <c r="B233" s="36">
        <v>13306020040001</v>
      </c>
      <c r="C233" s="72" t="s">
        <v>547</v>
      </c>
      <c r="D233" s="37"/>
      <c r="E233" s="37"/>
      <c r="F233" s="37"/>
      <c r="G233" s="37"/>
      <c r="H233" s="72" t="s">
        <v>505</v>
      </c>
      <c r="I233" s="37"/>
      <c r="J233" s="73">
        <f>820*0.2</f>
        <v>164</v>
      </c>
      <c r="K233" s="34" t="s">
        <v>19</v>
      </c>
    </row>
    <row r="234" ht="41" customHeight="1" spans="1:11">
      <c r="A234" s="35"/>
      <c r="B234" s="36">
        <v>13306020040011</v>
      </c>
      <c r="C234" s="72" t="s">
        <v>548</v>
      </c>
      <c r="D234" s="37"/>
      <c r="E234" s="37"/>
      <c r="F234" s="37"/>
      <c r="G234" s="37"/>
      <c r="H234" s="72" t="s">
        <v>505</v>
      </c>
      <c r="I234" s="37"/>
      <c r="J234" s="33">
        <v>820</v>
      </c>
      <c r="K234" s="95" t="s">
        <v>19</v>
      </c>
    </row>
    <row r="235" ht="41" customHeight="1" spans="1:11">
      <c r="A235" s="40">
        <v>39</v>
      </c>
      <c r="B235" s="36">
        <v>13105010100000</v>
      </c>
      <c r="C235" s="38" t="s">
        <v>549</v>
      </c>
      <c r="D235" s="72" t="s">
        <v>550</v>
      </c>
      <c r="E235" s="38" t="s">
        <v>551</v>
      </c>
      <c r="F235" s="38" t="s">
        <v>552</v>
      </c>
      <c r="G235" s="37"/>
      <c r="H235" s="72" t="s">
        <v>481</v>
      </c>
      <c r="I235" s="37"/>
      <c r="J235" s="33">
        <v>153</v>
      </c>
      <c r="K235" s="34" t="s">
        <v>19</v>
      </c>
    </row>
    <row r="236" ht="41" customHeight="1" spans="1:11">
      <c r="A236" s="35"/>
      <c r="B236" s="36">
        <v>13105010100001</v>
      </c>
      <c r="C236" s="38" t="s">
        <v>553</v>
      </c>
      <c r="D236" s="37"/>
      <c r="E236" s="37"/>
      <c r="F236" s="37"/>
      <c r="G236" s="37"/>
      <c r="H236" s="72" t="s">
        <v>481</v>
      </c>
      <c r="I236" s="37"/>
      <c r="J236" s="33">
        <f>153*0.5</f>
        <v>76.5</v>
      </c>
      <c r="K236" s="34" t="s">
        <v>19</v>
      </c>
    </row>
    <row r="237" ht="41" customHeight="1" spans="1:11">
      <c r="A237" s="40">
        <v>40</v>
      </c>
      <c r="B237" s="36">
        <v>13105010110000</v>
      </c>
      <c r="C237" s="38" t="s">
        <v>554</v>
      </c>
      <c r="D237" s="38" t="s">
        <v>555</v>
      </c>
      <c r="E237" s="38" t="s">
        <v>556</v>
      </c>
      <c r="F237" s="38" t="s">
        <v>557</v>
      </c>
      <c r="G237" s="37"/>
      <c r="H237" s="38" t="s">
        <v>481</v>
      </c>
      <c r="I237" s="37"/>
      <c r="J237" s="33">
        <v>900</v>
      </c>
      <c r="K237" s="34" t="s">
        <v>40</v>
      </c>
    </row>
    <row r="238" ht="41" customHeight="1" spans="1:11">
      <c r="A238" s="35"/>
      <c r="B238" s="36">
        <v>13105010110001</v>
      </c>
      <c r="C238" s="38" t="s">
        <v>558</v>
      </c>
      <c r="D238" s="37"/>
      <c r="E238" s="37"/>
      <c r="F238" s="37"/>
      <c r="G238" s="37"/>
      <c r="H238" s="38" t="s">
        <v>481</v>
      </c>
      <c r="I238" s="37"/>
      <c r="J238" s="33">
        <v>900</v>
      </c>
      <c r="K238" s="34" t="s">
        <v>40</v>
      </c>
    </row>
    <row r="239" ht="41" customHeight="1" spans="1:11">
      <c r="A239" s="40">
        <v>41</v>
      </c>
      <c r="B239" s="36">
        <v>13105010120000</v>
      </c>
      <c r="C239" s="38" t="s">
        <v>559</v>
      </c>
      <c r="D239" s="38" t="s">
        <v>560</v>
      </c>
      <c r="E239" s="38" t="s">
        <v>561</v>
      </c>
      <c r="F239" s="38" t="s">
        <v>562</v>
      </c>
      <c r="G239" s="37"/>
      <c r="H239" s="38" t="s">
        <v>481</v>
      </c>
      <c r="I239" s="38" t="s">
        <v>563</v>
      </c>
      <c r="J239" s="33">
        <v>248</v>
      </c>
      <c r="K239" s="34" t="s">
        <v>19</v>
      </c>
    </row>
    <row r="240" ht="41" customHeight="1" spans="1:11">
      <c r="A240" s="29"/>
      <c r="B240" s="36">
        <v>13105010120001</v>
      </c>
      <c r="C240" s="38" t="s">
        <v>564</v>
      </c>
      <c r="D240" s="37"/>
      <c r="E240" s="37"/>
      <c r="F240" s="37"/>
      <c r="G240" s="37"/>
      <c r="H240" s="38" t="s">
        <v>481</v>
      </c>
      <c r="I240" s="37"/>
      <c r="J240" s="33">
        <f>248*0.2</f>
        <v>49.6</v>
      </c>
      <c r="K240" s="34" t="s">
        <v>19</v>
      </c>
    </row>
    <row r="241" ht="41" customHeight="1" spans="1:11">
      <c r="A241" s="29"/>
      <c r="B241" s="36">
        <v>13105010120011</v>
      </c>
      <c r="C241" s="38" t="s">
        <v>565</v>
      </c>
      <c r="D241" s="37"/>
      <c r="E241" s="37"/>
      <c r="F241" s="37"/>
      <c r="G241" s="37"/>
      <c r="H241" s="38" t="s">
        <v>481</v>
      </c>
      <c r="I241" s="37"/>
      <c r="J241" s="33">
        <v>248</v>
      </c>
      <c r="K241" s="34" t="s">
        <v>19</v>
      </c>
    </row>
    <row r="242" ht="41" customHeight="1" spans="1:11">
      <c r="A242" s="29"/>
      <c r="B242" s="36">
        <v>13105010120012</v>
      </c>
      <c r="C242" s="38" t="s">
        <v>566</v>
      </c>
      <c r="D242" s="37"/>
      <c r="E242" s="37"/>
      <c r="F242" s="37"/>
      <c r="G242" s="37"/>
      <c r="H242" s="38" t="s">
        <v>481</v>
      </c>
      <c r="I242" s="37"/>
      <c r="J242" s="33">
        <f>248*(1-0.8)</f>
        <v>49.6</v>
      </c>
      <c r="K242" s="34" t="s">
        <v>19</v>
      </c>
    </row>
    <row r="243" ht="41" customHeight="1" spans="1:11">
      <c r="A243" s="35"/>
      <c r="B243" s="36">
        <v>13105010120013</v>
      </c>
      <c r="C243" s="38" t="s">
        <v>567</v>
      </c>
      <c r="D243" s="37"/>
      <c r="E243" s="37"/>
      <c r="F243" s="37"/>
      <c r="G243" s="37"/>
      <c r="H243" s="38" t="s">
        <v>481</v>
      </c>
      <c r="I243" s="37"/>
      <c r="J243" s="33">
        <f>248*(1-0.8)</f>
        <v>49.6</v>
      </c>
      <c r="K243" s="34" t="s">
        <v>19</v>
      </c>
    </row>
    <row r="244" ht="41" customHeight="1" spans="1:11">
      <c r="A244" s="86">
        <v>43</v>
      </c>
      <c r="B244" s="36">
        <v>13105010140000</v>
      </c>
      <c r="C244" s="38" t="s">
        <v>568</v>
      </c>
      <c r="D244" s="38" t="s">
        <v>569</v>
      </c>
      <c r="E244" s="38" t="s">
        <v>570</v>
      </c>
      <c r="F244" s="37"/>
      <c r="G244" s="37"/>
      <c r="H244" s="38" t="s">
        <v>481</v>
      </c>
      <c r="I244" s="37"/>
      <c r="J244" s="33">
        <v>44</v>
      </c>
      <c r="K244" s="34" t="s">
        <v>40</v>
      </c>
    </row>
    <row r="245" ht="41" customHeight="1" spans="1:11">
      <c r="A245" s="86">
        <v>44</v>
      </c>
      <c r="B245" s="36">
        <v>13105010150000</v>
      </c>
      <c r="C245" s="38" t="s">
        <v>571</v>
      </c>
      <c r="D245" s="38" t="s">
        <v>572</v>
      </c>
      <c r="E245" s="38" t="s">
        <v>573</v>
      </c>
      <c r="F245" s="37"/>
      <c r="G245" s="37"/>
      <c r="H245" s="38" t="s">
        <v>481</v>
      </c>
      <c r="I245" s="37"/>
      <c r="J245" s="33">
        <v>4</v>
      </c>
      <c r="K245" s="34" t="s">
        <v>40</v>
      </c>
    </row>
    <row r="246" ht="41" customHeight="1" spans="1:11">
      <c r="A246" s="86">
        <v>45</v>
      </c>
      <c r="B246" s="36">
        <v>13105010160000</v>
      </c>
      <c r="C246" s="38" t="s">
        <v>574</v>
      </c>
      <c r="D246" s="38" t="s">
        <v>575</v>
      </c>
      <c r="E246" s="38" t="s">
        <v>576</v>
      </c>
      <c r="F246" s="37"/>
      <c r="G246" s="37"/>
      <c r="H246" s="38" t="s">
        <v>481</v>
      </c>
      <c r="I246" s="37"/>
      <c r="J246" s="33">
        <v>8</v>
      </c>
      <c r="K246" s="34" t="s">
        <v>19</v>
      </c>
    </row>
    <row r="247" ht="41" customHeight="1" spans="1:11">
      <c r="A247" s="86">
        <v>48</v>
      </c>
      <c r="B247" s="36">
        <v>13105010190000</v>
      </c>
      <c r="C247" s="38" t="s">
        <v>577</v>
      </c>
      <c r="D247" s="38" t="s">
        <v>578</v>
      </c>
      <c r="E247" s="38" t="s">
        <v>579</v>
      </c>
      <c r="F247" s="37"/>
      <c r="G247" s="37"/>
      <c r="H247" s="38" t="s">
        <v>481</v>
      </c>
      <c r="I247" s="38" t="s">
        <v>18</v>
      </c>
      <c r="J247" s="33">
        <v>436</v>
      </c>
      <c r="K247" s="34" t="s">
        <v>40</v>
      </c>
    </row>
    <row r="248" ht="41" customHeight="1" spans="1:11">
      <c r="A248" s="40">
        <v>49</v>
      </c>
      <c r="B248" s="36">
        <v>13306020050000</v>
      </c>
      <c r="C248" s="38" t="s">
        <v>580</v>
      </c>
      <c r="D248" s="38" t="s">
        <v>581</v>
      </c>
      <c r="E248" s="38" t="s">
        <v>582</v>
      </c>
      <c r="F248" s="38" t="s">
        <v>583</v>
      </c>
      <c r="G248" s="37"/>
      <c r="H248" s="38" t="s">
        <v>481</v>
      </c>
      <c r="I248" s="38" t="s">
        <v>584</v>
      </c>
      <c r="J248" s="33">
        <v>114</v>
      </c>
      <c r="K248" s="34" t="s">
        <v>19</v>
      </c>
    </row>
    <row r="249" ht="41" customHeight="1" spans="1:11">
      <c r="A249" s="29"/>
      <c r="B249" s="36">
        <v>13306020050001</v>
      </c>
      <c r="C249" s="38" t="s">
        <v>585</v>
      </c>
      <c r="D249" s="37"/>
      <c r="E249" s="37"/>
      <c r="F249" s="37"/>
      <c r="G249" s="37"/>
      <c r="H249" s="38" t="s">
        <v>481</v>
      </c>
      <c r="I249" s="38" t="s">
        <v>586</v>
      </c>
      <c r="J249" s="33">
        <f>114*0.2</f>
        <v>22.8</v>
      </c>
      <c r="K249" s="34" t="s">
        <v>19</v>
      </c>
    </row>
    <row r="250" ht="41" customHeight="1" spans="1:11">
      <c r="A250" s="29"/>
      <c r="B250" s="36">
        <v>13306020050011</v>
      </c>
      <c r="C250" s="38" t="s">
        <v>587</v>
      </c>
      <c r="D250" s="37"/>
      <c r="E250" s="37"/>
      <c r="F250" s="37"/>
      <c r="G250" s="37"/>
      <c r="H250" s="38" t="s">
        <v>481</v>
      </c>
      <c r="I250" s="37"/>
      <c r="J250" s="33">
        <v>114</v>
      </c>
      <c r="K250" s="34" t="s">
        <v>19</v>
      </c>
    </row>
    <row r="251" ht="41" customHeight="1" spans="1:11">
      <c r="A251" s="35"/>
      <c r="B251" s="96">
        <v>373306020050002</v>
      </c>
      <c r="C251" s="38" t="s">
        <v>588</v>
      </c>
      <c r="D251" s="37"/>
      <c r="E251" s="37"/>
      <c r="F251" s="37"/>
      <c r="G251" s="37"/>
      <c r="H251" s="38" t="s">
        <v>481</v>
      </c>
      <c r="I251" s="37"/>
      <c r="J251" s="33">
        <f>114*(1-0.9)</f>
        <v>11.4</v>
      </c>
      <c r="K251" s="34" t="s">
        <v>19</v>
      </c>
    </row>
    <row r="252" ht="41" customHeight="1" spans="1:11">
      <c r="A252" s="40">
        <v>50</v>
      </c>
      <c r="B252" s="36">
        <v>13306020060000</v>
      </c>
      <c r="C252" s="38" t="s">
        <v>589</v>
      </c>
      <c r="D252" s="38" t="s">
        <v>590</v>
      </c>
      <c r="E252" s="38" t="s">
        <v>591</v>
      </c>
      <c r="F252" s="38" t="s">
        <v>592</v>
      </c>
      <c r="G252" s="38" t="s">
        <v>593</v>
      </c>
      <c r="H252" s="38" t="s">
        <v>481</v>
      </c>
      <c r="I252" s="38" t="s">
        <v>594</v>
      </c>
      <c r="J252" s="33">
        <v>260</v>
      </c>
      <c r="K252" s="34" t="s">
        <v>19</v>
      </c>
    </row>
    <row r="253" ht="41" customHeight="1" spans="1:11">
      <c r="A253" s="29"/>
      <c r="B253" s="36">
        <v>13306020060001</v>
      </c>
      <c r="C253" s="38" t="s">
        <v>595</v>
      </c>
      <c r="D253" s="37"/>
      <c r="E253" s="37"/>
      <c r="F253" s="37"/>
      <c r="G253" s="37"/>
      <c r="H253" s="38" t="s">
        <v>481</v>
      </c>
      <c r="I253" s="37"/>
      <c r="J253" s="33">
        <f>260*0.2</f>
        <v>52</v>
      </c>
      <c r="K253" s="34" t="s">
        <v>19</v>
      </c>
    </row>
    <row r="254" ht="41" customHeight="1" spans="1:11">
      <c r="A254" s="29"/>
      <c r="B254" s="36">
        <v>13306020060011</v>
      </c>
      <c r="C254" s="38" t="s">
        <v>596</v>
      </c>
      <c r="D254" s="37"/>
      <c r="E254" s="37"/>
      <c r="F254" s="37"/>
      <c r="G254" s="37"/>
      <c r="H254" s="38" t="s">
        <v>481</v>
      </c>
      <c r="I254" s="37"/>
      <c r="J254" s="33">
        <v>260</v>
      </c>
      <c r="K254" s="34" t="s">
        <v>19</v>
      </c>
    </row>
    <row r="255" ht="41" customHeight="1" spans="1:11">
      <c r="A255" s="35"/>
      <c r="B255" s="36">
        <v>13306020060100</v>
      </c>
      <c r="C255" s="38" t="s">
        <v>597</v>
      </c>
      <c r="D255" s="37"/>
      <c r="E255" s="37"/>
      <c r="F255" s="37"/>
      <c r="G255" s="37"/>
      <c r="H255" s="38" t="s">
        <v>481</v>
      </c>
      <c r="I255" s="37"/>
      <c r="J255" s="33">
        <v>260</v>
      </c>
      <c r="K255" s="34" t="s">
        <v>19</v>
      </c>
    </row>
    <row r="256" ht="41" customHeight="1" spans="1:11">
      <c r="A256" s="40">
        <v>51</v>
      </c>
      <c r="B256" s="36">
        <v>13306020070000</v>
      </c>
      <c r="C256" s="38" t="s">
        <v>598</v>
      </c>
      <c r="D256" s="38" t="s">
        <v>599</v>
      </c>
      <c r="E256" s="38" t="s">
        <v>600</v>
      </c>
      <c r="F256" s="38" t="s">
        <v>601</v>
      </c>
      <c r="G256" s="37"/>
      <c r="H256" s="38" t="s">
        <v>481</v>
      </c>
      <c r="I256" s="38" t="s">
        <v>18</v>
      </c>
      <c r="J256" s="33">
        <v>103</v>
      </c>
      <c r="K256" s="34" t="s">
        <v>19</v>
      </c>
    </row>
    <row r="257" ht="41" customHeight="1" spans="1:11">
      <c r="A257" s="29"/>
      <c r="B257" s="36">
        <v>13306020070001</v>
      </c>
      <c r="C257" s="38" t="s">
        <v>602</v>
      </c>
      <c r="D257" s="37"/>
      <c r="E257" s="37"/>
      <c r="F257" s="37"/>
      <c r="G257" s="37"/>
      <c r="H257" s="38" t="s">
        <v>481</v>
      </c>
      <c r="I257" s="37"/>
      <c r="J257" s="33">
        <f>103*0.2</f>
        <v>20.6</v>
      </c>
      <c r="K257" s="34" t="s">
        <v>19</v>
      </c>
    </row>
    <row r="258" ht="41" customHeight="1" spans="1:11">
      <c r="A258" s="35"/>
      <c r="B258" s="36">
        <v>13306020070011</v>
      </c>
      <c r="C258" s="38" t="s">
        <v>603</v>
      </c>
      <c r="D258" s="37"/>
      <c r="E258" s="37"/>
      <c r="F258" s="37"/>
      <c r="G258" s="37"/>
      <c r="H258" s="38" t="s">
        <v>481</v>
      </c>
      <c r="I258" s="37"/>
      <c r="J258" s="33">
        <v>103</v>
      </c>
      <c r="K258" s="34" t="s">
        <v>19</v>
      </c>
    </row>
    <row r="259" ht="41" customHeight="1" spans="1:11">
      <c r="A259" s="40">
        <v>52</v>
      </c>
      <c r="B259" s="36">
        <v>13306020080000</v>
      </c>
      <c r="C259" s="38" t="s">
        <v>604</v>
      </c>
      <c r="D259" s="38" t="s">
        <v>605</v>
      </c>
      <c r="E259" s="38" t="s">
        <v>606</v>
      </c>
      <c r="F259" s="37"/>
      <c r="G259" s="37"/>
      <c r="H259" s="38" t="s">
        <v>481</v>
      </c>
      <c r="I259" s="37"/>
      <c r="J259" s="33">
        <v>340</v>
      </c>
      <c r="K259" s="34" t="s">
        <v>40</v>
      </c>
    </row>
    <row r="260" ht="41" customHeight="1" spans="1:11">
      <c r="A260" s="35"/>
      <c r="B260" s="36">
        <v>13306020080001</v>
      </c>
      <c r="C260" s="38" t="s">
        <v>607</v>
      </c>
      <c r="D260" s="37"/>
      <c r="E260" s="37"/>
      <c r="F260" s="37"/>
      <c r="G260" s="37"/>
      <c r="H260" s="38" t="s">
        <v>481</v>
      </c>
      <c r="I260" s="37"/>
      <c r="J260" s="33">
        <f>340*0.2</f>
        <v>68</v>
      </c>
      <c r="K260" s="34" t="s">
        <v>40</v>
      </c>
    </row>
    <row r="261" ht="41" customHeight="1" spans="1:11">
      <c r="A261" s="40">
        <v>53</v>
      </c>
      <c r="B261" s="36">
        <v>13306020090000</v>
      </c>
      <c r="C261" s="38" t="s">
        <v>608</v>
      </c>
      <c r="D261" s="38" t="s">
        <v>609</v>
      </c>
      <c r="E261" s="38" t="s">
        <v>610</v>
      </c>
      <c r="F261" s="37"/>
      <c r="G261" s="37"/>
      <c r="H261" s="38" t="s">
        <v>481</v>
      </c>
      <c r="I261" s="38" t="s">
        <v>611</v>
      </c>
      <c r="J261" s="33">
        <v>36</v>
      </c>
      <c r="K261" s="34" t="s">
        <v>19</v>
      </c>
    </row>
    <row r="262" ht="41" customHeight="1" spans="1:11">
      <c r="A262" s="35"/>
      <c r="B262" s="36">
        <v>13306020090001</v>
      </c>
      <c r="C262" s="38" t="s">
        <v>612</v>
      </c>
      <c r="D262" s="37"/>
      <c r="E262" s="37"/>
      <c r="F262" s="37"/>
      <c r="G262" s="37"/>
      <c r="H262" s="38" t="s">
        <v>481</v>
      </c>
      <c r="I262" s="37"/>
      <c r="J262" s="33">
        <f>36*0.2</f>
        <v>7.2</v>
      </c>
      <c r="K262" s="34" t="s">
        <v>19</v>
      </c>
    </row>
    <row r="263" ht="41" customHeight="1" spans="1:11">
      <c r="A263" s="40">
        <v>54</v>
      </c>
      <c r="B263" s="36">
        <v>13306020100000</v>
      </c>
      <c r="C263" s="38" t="s">
        <v>613</v>
      </c>
      <c r="D263" s="38" t="s">
        <v>614</v>
      </c>
      <c r="E263" s="38" t="s">
        <v>615</v>
      </c>
      <c r="F263" s="37"/>
      <c r="G263" s="37"/>
      <c r="H263" s="38" t="s">
        <v>481</v>
      </c>
      <c r="I263" s="37"/>
      <c r="J263" s="33">
        <v>156</v>
      </c>
      <c r="K263" s="34" t="s">
        <v>40</v>
      </c>
    </row>
    <row r="264" ht="41" customHeight="1" spans="1:11">
      <c r="A264" s="35"/>
      <c r="B264" s="36">
        <v>13306020100001</v>
      </c>
      <c r="C264" s="38" t="s">
        <v>616</v>
      </c>
      <c r="D264" s="37"/>
      <c r="E264" s="37"/>
      <c r="F264" s="37"/>
      <c r="G264" s="37"/>
      <c r="H264" s="38" t="s">
        <v>481</v>
      </c>
      <c r="I264" s="37"/>
      <c r="J264" s="33">
        <f>156*0.2</f>
        <v>31.2</v>
      </c>
      <c r="K264" s="34" t="s">
        <v>40</v>
      </c>
    </row>
    <row r="265" ht="41" customHeight="1" spans="1:11">
      <c r="A265" s="40">
        <v>55</v>
      </c>
      <c r="B265" s="36">
        <v>13306020110000</v>
      </c>
      <c r="C265" s="38" t="s">
        <v>617</v>
      </c>
      <c r="D265" s="38" t="s">
        <v>618</v>
      </c>
      <c r="E265" s="38" t="s">
        <v>619</v>
      </c>
      <c r="F265" s="38" t="s">
        <v>65</v>
      </c>
      <c r="G265" s="37"/>
      <c r="H265" s="38" t="s">
        <v>481</v>
      </c>
      <c r="I265" s="38" t="s">
        <v>620</v>
      </c>
      <c r="J265" s="33">
        <v>831</v>
      </c>
      <c r="K265" s="34" t="s">
        <v>40</v>
      </c>
    </row>
    <row r="266" ht="41" customHeight="1" spans="1:11">
      <c r="A266" s="35"/>
      <c r="B266" s="36">
        <v>13306020110001</v>
      </c>
      <c r="C266" s="38" t="s">
        <v>621</v>
      </c>
      <c r="D266" s="37"/>
      <c r="E266" s="37"/>
      <c r="F266" s="37"/>
      <c r="G266" s="37"/>
      <c r="H266" s="38" t="s">
        <v>481</v>
      </c>
      <c r="I266" s="37"/>
      <c r="J266" s="33">
        <f>831*0.2</f>
        <v>166.2</v>
      </c>
      <c r="K266" s="34" t="s">
        <v>40</v>
      </c>
    </row>
    <row r="267" ht="41" customHeight="1" spans="1:11">
      <c r="A267" s="86">
        <v>56</v>
      </c>
      <c r="B267" s="36">
        <v>13306020120000</v>
      </c>
      <c r="C267" s="38" t="s">
        <v>622</v>
      </c>
      <c r="D267" s="38" t="s">
        <v>623</v>
      </c>
      <c r="E267" s="38" t="s">
        <v>624</v>
      </c>
      <c r="F267" s="37"/>
      <c r="G267" s="38" t="s">
        <v>625</v>
      </c>
      <c r="H267" s="38" t="s">
        <v>481</v>
      </c>
      <c r="I267" s="37"/>
      <c r="J267" s="33">
        <v>312</v>
      </c>
      <c r="K267" s="34" t="s">
        <v>40</v>
      </c>
    </row>
    <row r="268" ht="41" customHeight="1" spans="1:11">
      <c r="A268" s="97"/>
      <c r="B268" s="36">
        <v>13306020120001</v>
      </c>
      <c r="C268" s="38" t="s">
        <v>626</v>
      </c>
      <c r="D268" s="37"/>
      <c r="E268" s="37"/>
      <c r="F268" s="37"/>
      <c r="G268" s="37"/>
      <c r="H268" s="38" t="s">
        <v>481</v>
      </c>
      <c r="I268" s="37"/>
      <c r="J268" s="33">
        <f>312*0.2</f>
        <v>62.4</v>
      </c>
      <c r="K268" s="34" t="s">
        <v>40</v>
      </c>
    </row>
    <row r="269" ht="41" customHeight="1" spans="1:11">
      <c r="A269" s="98"/>
      <c r="B269" s="36">
        <v>13306020120100</v>
      </c>
      <c r="C269" s="38" t="s">
        <v>627</v>
      </c>
      <c r="D269" s="37"/>
      <c r="E269" s="37"/>
      <c r="F269" s="37"/>
      <c r="G269" s="37"/>
      <c r="H269" s="38" t="s">
        <v>481</v>
      </c>
      <c r="I269" s="37"/>
      <c r="J269" s="33">
        <v>312</v>
      </c>
      <c r="K269" s="34" t="s">
        <v>40</v>
      </c>
    </row>
    <row r="270" ht="41" customHeight="1" spans="1:11">
      <c r="A270" s="40">
        <v>57</v>
      </c>
      <c r="B270" s="36">
        <v>13306020130000</v>
      </c>
      <c r="C270" s="38" t="s">
        <v>628</v>
      </c>
      <c r="D270" s="38" t="s">
        <v>629</v>
      </c>
      <c r="E270" s="38" t="s">
        <v>630</v>
      </c>
      <c r="F270" s="38" t="s">
        <v>631</v>
      </c>
      <c r="G270" s="37"/>
      <c r="H270" s="38" t="s">
        <v>632</v>
      </c>
      <c r="I270" s="37"/>
      <c r="J270" s="33">
        <v>364</v>
      </c>
      <c r="K270" s="34" t="s">
        <v>19</v>
      </c>
    </row>
    <row r="271" ht="41" customHeight="1" spans="1:11">
      <c r="A271" s="29"/>
      <c r="B271" s="36">
        <v>13306020130001</v>
      </c>
      <c r="C271" s="38" t="s">
        <v>633</v>
      </c>
      <c r="D271" s="37"/>
      <c r="E271" s="37"/>
      <c r="F271" s="37"/>
      <c r="G271" s="37"/>
      <c r="H271" s="38" t="s">
        <v>632</v>
      </c>
      <c r="I271" s="37"/>
      <c r="J271" s="33">
        <f>364*0.2</f>
        <v>72.8</v>
      </c>
      <c r="K271" s="34" t="s">
        <v>19</v>
      </c>
    </row>
    <row r="272" ht="41" customHeight="1" spans="1:11">
      <c r="A272" s="29"/>
      <c r="B272" s="36">
        <v>13306020130011</v>
      </c>
      <c r="C272" s="38" t="s">
        <v>634</v>
      </c>
      <c r="D272" s="37"/>
      <c r="E272" s="37"/>
      <c r="F272" s="37"/>
      <c r="G272" s="37"/>
      <c r="H272" s="38" t="s">
        <v>632</v>
      </c>
      <c r="I272" s="37"/>
      <c r="J272" s="33">
        <v>364</v>
      </c>
      <c r="K272" s="34" t="s">
        <v>19</v>
      </c>
    </row>
    <row r="273" ht="41" customHeight="1" spans="1:11">
      <c r="A273" s="99"/>
      <c r="B273" s="159" t="s">
        <v>635</v>
      </c>
      <c r="C273" s="38" t="s">
        <v>636</v>
      </c>
      <c r="D273" s="37"/>
      <c r="E273" s="37"/>
      <c r="F273" s="37"/>
      <c r="G273" s="37"/>
      <c r="H273" s="38" t="s">
        <v>632</v>
      </c>
      <c r="I273" s="37"/>
      <c r="J273" s="33">
        <f>364*(1-0.3)</f>
        <v>254.8</v>
      </c>
      <c r="K273" s="34" t="s">
        <v>19</v>
      </c>
    </row>
    <row r="274" ht="41" customHeight="1" spans="1:11">
      <c r="A274" s="40">
        <v>58</v>
      </c>
      <c r="B274" s="36">
        <v>13306020140000</v>
      </c>
      <c r="C274" s="38" t="s">
        <v>637</v>
      </c>
      <c r="D274" s="38" t="s">
        <v>638</v>
      </c>
      <c r="E274" s="38" t="s">
        <v>639</v>
      </c>
      <c r="F274" s="37"/>
      <c r="G274" s="37"/>
      <c r="H274" s="38" t="s">
        <v>35</v>
      </c>
      <c r="I274" s="37"/>
      <c r="J274" s="33">
        <v>160</v>
      </c>
      <c r="K274" s="34" t="s">
        <v>40</v>
      </c>
    </row>
    <row r="275" ht="41" customHeight="1" spans="1:11">
      <c r="A275" s="35"/>
      <c r="B275" s="36">
        <v>13306020140001</v>
      </c>
      <c r="C275" s="38" t="s">
        <v>640</v>
      </c>
      <c r="D275" s="37"/>
      <c r="E275" s="37"/>
      <c r="F275" s="37"/>
      <c r="G275" s="37"/>
      <c r="H275" s="38" t="s">
        <v>35</v>
      </c>
      <c r="I275" s="37"/>
      <c r="J275" s="33">
        <f>160*0.2</f>
        <v>32</v>
      </c>
      <c r="K275" s="34" t="s">
        <v>40</v>
      </c>
    </row>
    <row r="276" ht="41" customHeight="1" spans="1:11">
      <c r="A276" s="40">
        <v>59</v>
      </c>
      <c r="B276" s="36">
        <v>13306020150000</v>
      </c>
      <c r="C276" s="38" t="s">
        <v>641</v>
      </c>
      <c r="D276" s="38" t="s">
        <v>642</v>
      </c>
      <c r="E276" s="38" t="s">
        <v>643</v>
      </c>
      <c r="F276" s="37"/>
      <c r="G276" s="37"/>
      <c r="H276" s="38" t="s">
        <v>35</v>
      </c>
      <c r="I276" s="38" t="s">
        <v>644</v>
      </c>
      <c r="J276" s="33">
        <v>853</v>
      </c>
      <c r="K276" s="34" t="s">
        <v>40</v>
      </c>
    </row>
    <row r="277" ht="41" customHeight="1" spans="1:11">
      <c r="A277" s="35"/>
      <c r="B277" s="36">
        <v>13306020150001</v>
      </c>
      <c r="C277" s="38" t="s">
        <v>645</v>
      </c>
      <c r="D277" s="37"/>
      <c r="E277" s="37"/>
      <c r="F277" s="37"/>
      <c r="G277" s="37"/>
      <c r="H277" s="38" t="s">
        <v>35</v>
      </c>
      <c r="I277" s="37"/>
      <c r="J277" s="33">
        <f>853*0.2</f>
        <v>170.6</v>
      </c>
      <c r="K277" s="34" t="s">
        <v>40</v>
      </c>
    </row>
    <row r="278" ht="41" customHeight="1" spans="1:11">
      <c r="A278" s="40">
        <v>60</v>
      </c>
      <c r="B278" s="36">
        <v>13306020160000</v>
      </c>
      <c r="C278" s="38" t="s">
        <v>646</v>
      </c>
      <c r="D278" s="38" t="s">
        <v>647</v>
      </c>
      <c r="E278" s="38" t="s">
        <v>643</v>
      </c>
      <c r="F278" s="37"/>
      <c r="G278" s="37"/>
      <c r="H278" s="38" t="s">
        <v>35</v>
      </c>
      <c r="I278" s="38" t="s">
        <v>648</v>
      </c>
      <c r="J278" s="33">
        <v>394</v>
      </c>
      <c r="K278" s="34" t="s">
        <v>40</v>
      </c>
    </row>
    <row r="279" ht="41" customHeight="1" spans="1:11">
      <c r="A279" s="35"/>
      <c r="B279" s="36">
        <v>13306020160001</v>
      </c>
      <c r="C279" s="38" t="s">
        <v>649</v>
      </c>
      <c r="D279" s="37"/>
      <c r="E279" s="37"/>
      <c r="F279" s="37"/>
      <c r="G279" s="37"/>
      <c r="H279" s="38" t="s">
        <v>35</v>
      </c>
      <c r="I279" s="37"/>
      <c r="J279" s="33">
        <f>394*0.2</f>
        <v>78.8</v>
      </c>
      <c r="K279" s="34" t="s">
        <v>40</v>
      </c>
    </row>
    <row r="280" ht="41" customHeight="1" spans="1:11">
      <c r="A280" s="40">
        <v>61</v>
      </c>
      <c r="B280" s="36">
        <v>13306020170000</v>
      </c>
      <c r="C280" s="38" t="s">
        <v>650</v>
      </c>
      <c r="D280" s="38" t="s">
        <v>651</v>
      </c>
      <c r="E280" s="38" t="s">
        <v>652</v>
      </c>
      <c r="F280" s="37"/>
      <c r="G280" s="37"/>
      <c r="H280" s="38" t="s">
        <v>632</v>
      </c>
      <c r="I280" s="37"/>
      <c r="J280" s="33">
        <v>421</v>
      </c>
      <c r="K280" s="34" t="s">
        <v>40</v>
      </c>
    </row>
    <row r="281" ht="41" customHeight="1" spans="1:11">
      <c r="A281" s="35"/>
      <c r="B281" s="36">
        <v>13306020170001</v>
      </c>
      <c r="C281" s="38" t="s">
        <v>653</v>
      </c>
      <c r="D281" s="37"/>
      <c r="E281" s="37"/>
      <c r="F281" s="37"/>
      <c r="G281" s="37"/>
      <c r="H281" s="38" t="s">
        <v>632</v>
      </c>
      <c r="I281" s="37"/>
      <c r="J281" s="33">
        <f>421*0.2</f>
        <v>84.2</v>
      </c>
      <c r="K281" s="34" t="s">
        <v>40</v>
      </c>
    </row>
    <row r="282" ht="41" customHeight="1" spans="1:11">
      <c r="A282" s="40">
        <v>62</v>
      </c>
      <c r="B282" s="36">
        <v>13306020180000</v>
      </c>
      <c r="C282" s="38" t="s">
        <v>654</v>
      </c>
      <c r="D282" s="38" t="s">
        <v>655</v>
      </c>
      <c r="E282" s="38" t="s">
        <v>475</v>
      </c>
      <c r="F282" s="37"/>
      <c r="G282" s="37"/>
      <c r="H282" s="38" t="s">
        <v>35</v>
      </c>
      <c r="I282" s="38" t="s">
        <v>656</v>
      </c>
      <c r="J282" s="33">
        <v>389</v>
      </c>
      <c r="K282" s="34" t="s">
        <v>40</v>
      </c>
    </row>
    <row r="283" ht="41" customHeight="1" spans="1:11">
      <c r="A283" s="35"/>
      <c r="B283" s="36">
        <v>13306020180001</v>
      </c>
      <c r="C283" s="38" t="s">
        <v>657</v>
      </c>
      <c r="D283" s="37"/>
      <c r="E283" s="37"/>
      <c r="F283" s="37"/>
      <c r="G283" s="37"/>
      <c r="H283" s="38" t="s">
        <v>35</v>
      </c>
      <c r="I283" s="37"/>
      <c r="J283" s="33">
        <f>389*0.2</f>
        <v>77.8</v>
      </c>
      <c r="K283" s="34" t="s">
        <v>40</v>
      </c>
    </row>
    <row r="284" ht="41" customHeight="1" spans="1:11">
      <c r="A284" s="40">
        <v>63</v>
      </c>
      <c r="B284" s="36">
        <v>13306020190000</v>
      </c>
      <c r="C284" s="38" t="s">
        <v>658</v>
      </c>
      <c r="D284" s="38" t="s">
        <v>659</v>
      </c>
      <c r="E284" s="38" t="s">
        <v>660</v>
      </c>
      <c r="F284" s="37"/>
      <c r="G284" s="37"/>
      <c r="H284" s="38" t="s">
        <v>35</v>
      </c>
      <c r="I284" s="38" t="s">
        <v>656</v>
      </c>
      <c r="J284" s="33">
        <v>15</v>
      </c>
      <c r="K284" s="34" t="s">
        <v>40</v>
      </c>
    </row>
    <row r="285" ht="41" customHeight="1" spans="1:11">
      <c r="A285" s="35"/>
      <c r="B285" s="36">
        <v>13306020190001</v>
      </c>
      <c r="C285" s="38" t="s">
        <v>661</v>
      </c>
      <c r="D285" s="37"/>
      <c r="E285" s="37"/>
      <c r="F285" s="37"/>
      <c r="G285" s="37"/>
      <c r="H285" s="38" t="s">
        <v>35</v>
      </c>
      <c r="I285" s="37"/>
      <c r="J285" s="33">
        <f>15*0.2</f>
        <v>3</v>
      </c>
      <c r="K285" s="34" t="s">
        <v>40</v>
      </c>
    </row>
    <row r="286" ht="41" customHeight="1" spans="1:11">
      <c r="A286" s="40">
        <v>64</v>
      </c>
      <c r="B286" s="36">
        <v>13306020200000</v>
      </c>
      <c r="C286" s="38" t="s">
        <v>662</v>
      </c>
      <c r="D286" s="38" t="s">
        <v>663</v>
      </c>
      <c r="E286" s="38" t="s">
        <v>664</v>
      </c>
      <c r="F286" s="38" t="s">
        <v>665</v>
      </c>
      <c r="G286" s="37"/>
      <c r="H286" s="38" t="s">
        <v>481</v>
      </c>
      <c r="I286" s="38" t="s">
        <v>666</v>
      </c>
      <c r="J286" s="33">
        <v>127</v>
      </c>
      <c r="K286" s="34" t="s">
        <v>40</v>
      </c>
    </row>
    <row r="287" ht="41" customHeight="1" spans="1:11">
      <c r="A287" s="35"/>
      <c r="B287" s="36">
        <v>13306020200001</v>
      </c>
      <c r="C287" s="38" t="s">
        <v>667</v>
      </c>
      <c r="D287" s="37"/>
      <c r="E287" s="37"/>
      <c r="F287" s="37"/>
      <c r="G287" s="37"/>
      <c r="H287" s="38" t="s">
        <v>481</v>
      </c>
      <c r="I287" s="37"/>
      <c r="J287" s="33">
        <f>127*0.2</f>
        <v>25.4</v>
      </c>
      <c r="K287" s="34" t="s">
        <v>40</v>
      </c>
    </row>
    <row r="288" ht="41" customHeight="1" spans="1:11">
      <c r="A288" s="94"/>
      <c r="B288" s="36">
        <v>13306020200011</v>
      </c>
      <c r="C288" s="38" t="s">
        <v>668</v>
      </c>
      <c r="D288" s="37"/>
      <c r="E288" s="37"/>
      <c r="F288" s="37"/>
      <c r="G288" s="37"/>
      <c r="H288" s="38" t="s">
        <v>481</v>
      </c>
      <c r="I288" s="37"/>
      <c r="J288" s="33">
        <v>127</v>
      </c>
      <c r="K288" s="34" t="s">
        <v>40</v>
      </c>
    </row>
    <row r="289" ht="41" customHeight="1" spans="1:11">
      <c r="A289" s="40">
        <v>65</v>
      </c>
      <c r="B289" s="36">
        <v>13105010200000</v>
      </c>
      <c r="C289" s="38" t="s">
        <v>669</v>
      </c>
      <c r="D289" s="38" t="s">
        <v>670</v>
      </c>
      <c r="E289" s="38" t="s">
        <v>671</v>
      </c>
      <c r="F289" s="38" t="s">
        <v>491</v>
      </c>
      <c r="G289" s="37"/>
      <c r="H289" s="38" t="s">
        <v>465</v>
      </c>
      <c r="I289" s="37"/>
      <c r="J289" s="33">
        <v>383</v>
      </c>
      <c r="K289" s="34" t="s">
        <v>40</v>
      </c>
    </row>
    <row r="290" ht="41" customHeight="1" spans="1:11">
      <c r="A290" s="35"/>
      <c r="B290" s="36">
        <v>13105010200001</v>
      </c>
      <c r="C290" s="38" t="s">
        <v>672</v>
      </c>
      <c r="D290" s="37"/>
      <c r="E290" s="37"/>
      <c r="F290" s="37"/>
      <c r="G290" s="37"/>
      <c r="H290" s="38" t="s">
        <v>465</v>
      </c>
      <c r="I290" s="37"/>
      <c r="J290" s="33">
        <f>383*0.2</f>
        <v>76.6</v>
      </c>
      <c r="K290" s="34" t="s">
        <v>40</v>
      </c>
    </row>
    <row r="291" ht="41" customHeight="1" spans="1:11">
      <c r="A291" s="40">
        <v>66</v>
      </c>
      <c r="B291" s="36">
        <v>13105010210000</v>
      </c>
      <c r="C291" s="38" t="s">
        <v>673</v>
      </c>
      <c r="D291" s="38" t="s">
        <v>674</v>
      </c>
      <c r="E291" s="38" t="s">
        <v>468</v>
      </c>
      <c r="F291" s="38" t="s">
        <v>491</v>
      </c>
      <c r="G291" s="37"/>
      <c r="H291" s="38" t="s">
        <v>465</v>
      </c>
      <c r="I291" s="37"/>
      <c r="J291" s="33">
        <v>79</v>
      </c>
      <c r="K291" s="34" t="s">
        <v>40</v>
      </c>
    </row>
    <row r="292" ht="41" customHeight="1" spans="1:11">
      <c r="A292" s="35"/>
      <c r="B292" s="36">
        <v>13105010210001</v>
      </c>
      <c r="C292" s="38" t="s">
        <v>675</v>
      </c>
      <c r="D292" s="37"/>
      <c r="E292" s="37"/>
      <c r="F292" s="37"/>
      <c r="G292" s="37"/>
      <c r="H292" s="38" t="s">
        <v>465</v>
      </c>
      <c r="I292" s="37"/>
      <c r="J292" s="33">
        <f>79*0.2</f>
        <v>15.8</v>
      </c>
      <c r="K292" s="34" t="s">
        <v>40</v>
      </c>
    </row>
    <row r="293" ht="41" customHeight="1" spans="1:11">
      <c r="A293" s="40">
        <v>67</v>
      </c>
      <c r="B293" s="36">
        <v>13306020210000</v>
      </c>
      <c r="C293" s="38" t="s">
        <v>676</v>
      </c>
      <c r="D293" s="38" t="s">
        <v>677</v>
      </c>
      <c r="E293" s="38" t="s">
        <v>678</v>
      </c>
      <c r="F293" s="37"/>
      <c r="G293" s="37"/>
      <c r="H293" s="38" t="s">
        <v>481</v>
      </c>
      <c r="I293" s="37"/>
      <c r="J293" s="33">
        <v>267</v>
      </c>
      <c r="K293" s="34" t="s">
        <v>40</v>
      </c>
    </row>
    <row r="294" ht="41" customHeight="1" spans="1:11">
      <c r="A294" s="35"/>
      <c r="B294" s="36">
        <v>13306020210001</v>
      </c>
      <c r="C294" s="38" t="s">
        <v>679</v>
      </c>
      <c r="D294" s="37"/>
      <c r="E294" s="37"/>
      <c r="F294" s="37"/>
      <c r="G294" s="37"/>
      <c r="H294" s="38" t="s">
        <v>481</v>
      </c>
      <c r="I294" s="37"/>
      <c r="J294" s="33">
        <f>267*0.2</f>
        <v>53.4</v>
      </c>
      <c r="K294" s="34" t="s">
        <v>40</v>
      </c>
    </row>
    <row r="295" ht="41" customHeight="1" spans="1:11">
      <c r="A295" s="40">
        <v>68</v>
      </c>
      <c r="B295" s="36">
        <v>13306020220000</v>
      </c>
      <c r="C295" s="38" t="s">
        <v>680</v>
      </c>
      <c r="D295" s="38" t="s">
        <v>681</v>
      </c>
      <c r="E295" s="38" t="s">
        <v>682</v>
      </c>
      <c r="F295" s="37"/>
      <c r="G295" s="37"/>
      <c r="H295" s="38" t="s">
        <v>35</v>
      </c>
      <c r="I295" s="37"/>
      <c r="J295" s="33">
        <v>27</v>
      </c>
      <c r="K295" s="34" t="s">
        <v>19</v>
      </c>
    </row>
    <row r="296" ht="41" customHeight="1" spans="1:11">
      <c r="A296" s="35"/>
      <c r="B296" s="36">
        <v>13306020220001</v>
      </c>
      <c r="C296" s="38" t="s">
        <v>683</v>
      </c>
      <c r="D296" s="37"/>
      <c r="E296" s="37"/>
      <c r="F296" s="37"/>
      <c r="G296" s="37"/>
      <c r="H296" s="38" t="s">
        <v>35</v>
      </c>
      <c r="I296" s="37"/>
      <c r="J296" s="33">
        <f>27*0.2</f>
        <v>5.4</v>
      </c>
      <c r="K296" s="34" t="s">
        <v>19</v>
      </c>
    </row>
    <row r="297" ht="41" customHeight="1" spans="1:11">
      <c r="A297" s="100">
        <v>69</v>
      </c>
      <c r="B297" s="36">
        <v>13306020230000</v>
      </c>
      <c r="C297" s="38" t="s">
        <v>684</v>
      </c>
      <c r="D297" s="38" t="s">
        <v>685</v>
      </c>
      <c r="E297" s="38" t="s">
        <v>686</v>
      </c>
      <c r="F297" s="37"/>
      <c r="G297" s="37"/>
      <c r="H297" s="38" t="s">
        <v>35</v>
      </c>
      <c r="I297" s="37"/>
      <c r="J297" s="33">
        <v>177</v>
      </c>
      <c r="K297" s="34" t="s">
        <v>19</v>
      </c>
    </row>
    <row r="298" ht="41" customHeight="1" spans="1:11">
      <c r="A298" s="101"/>
      <c r="B298" s="36">
        <v>13306020230001</v>
      </c>
      <c r="C298" s="38" t="s">
        <v>687</v>
      </c>
      <c r="D298" s="37"/>
      <c r="E298" s="37"/>
      <c r="F298" s="37"/>
      <c r="G298" s="37"/>
      <c r="H298" s="38" t="s">
        <v>35</v>
      </c>
      <c r="I298" s="37"/>
      <c r="J298" s="33">
        <f>177*0.2</f>
        <v>35.4</v>
      </c>
      <c r="K298" s="34" t="s">
        <v>19</v>
      </c>
    </row>
    <row r="299" ht="41" customHeight="1" spans="1:11">
      <c r="A299" s="40">
        <v>71</v>
      </c>
      <c r="B299" s="36">
        <v>13306020240000</v>
      </c>
      <c r="C299" s="38" t="s">
        <v>688</v>
      </c>
      <c r="D299" s="38" t="s">
        <v>689</v>
      </c>
      <c r="E299" s="38" t="s">
        <v>690</v>
      </c>
      <c r="F299" s="38" t="s">
        <v>691</v>
      </c>
      <c r="G299" s="37"/>
      <c r="H299" s="38" t="s">
        <v>35</v>
      </c>
      <c r="I299" s="38" t="s">
        <v>692</v>
      </c>
      <c r="J299" s="33">
        <v>488</v>
      </c>
      <c r="K299" s="34" t="s">
        <v>40</v>
      </c>
    </row>
    <row r="300" ht="41" customHeight="1" spans="1:11">
      <c r="A300" s="29"/>
      <c r="B300" s="36">
        <v>13306020240001</v>
      </c>
      <c r="C300" s="38" t="s">
        <v>693</v>
      </c>
      <c r="D300" s="37"/>
      <c r="E300" s="37"/>
      <c r="F300" s="37"/>
      <c r="G300" s="37"/>
      <c r="H300" s="38" t="s">
        <v>35</v>
      </c>
      <c r="I300" s="37"/>
      <c r="J300" s="33">
        <f>488*0.2</f>
        <v>97.6</v>
      </c>
      <c r="K300" s="34" t="s">
        <v>40</v>
      </c>
    </row>
    <row r="301" ht="41" customHeight="1" spans="1:11">
      <c r="A301" s="35"/>
      <c r="B301" s="36">
        <v>13306020240011</v>
      </c>
      <c r="C301" s="38" t="s">
        <v>694</v>
      </c>
      <c r="D301" s="37"/>
      <c r="E301" s="37"/>
      <c r="F301" s="37"/>
      <c r="G301" s="37"/>
      <c r="H301" s="38" t="s">
        <v>35</v>
      </c>
      <c r="I301" s="37"/>
      <c r="J301" s="33">
        <v>488</v>
      </c>
      <c r="K301" s="34" t="s">
        <v>40</v>
      </c>
    </row>
    <row r="302" ht="41" customHeight="1" spans="1:11">
      <c r="A302" s="40">
        <v>72</v>
      </c>
      <c r="B302" s="36">
        <v>13306020250000</v>
      </c>
      <c r="C302" s="38" t="s">
        <v>695</v>
      </c>
      <c r="D302" s="38" t="s">
        <v>696</v>
      </c>
      <c r="E302" s="38" t="s">
        <v>697</v>
      </c>
      <c r="F302" s="37"/>
      <c r="G302" s="37"/>
      <c r="H302" s="38" t="s">
        <v>17</v>
      </c>
      <c r="I302" s="37"/>
      <c r="J302" s="33">
        <v>490</v>
      </c>
      <c r="K302" s="34" t="s">
        <v>40</v>
      </c>
    </row>
    <row r="303" ht="41" customHeight="1" spans="1:11">
      <c r="A303" s="35"/>
      <c r="B303" s="36">
        <v>13306020250001</v>
      </c>
      <c r="C303" s="38" t="s">
        <v>698</v>
      </c>
      <c r="D303" s="37"/>
      <c r="E303" s="37"/>
      <c r="F303" s="37"/>
      <c r="G303" s="37"/>
      <c r="H303" s="38" t="s">
        <v>17</v>
      </c>
      <c r="I303" s="37"/>
      <c r="J303" s="33">
        <f>490*0.2</f>
        <v>98</v>
      </c>
      <c r="K303" s="34" t="s">
        <v>40</v>
      </c>
    </row>
    <row r="304" ht="41" customHeight="1" spans="1:11">
      <c r="A304" s="40">
        <v>73</v>
      </c>
      <c r="B304" s="36">
        <v>13306020260000</v>
      </c>
      <c r="C304" s="38" t="s">
        <v>699</v>
      </c>
      <c r="D304" s="38" t="s">
        <v>700</v>
      </c>
      <c r="E304" s="38" t="s">
        <v>701</v>
      </c>
      <c r="F304" s="37"/>
      <c r="G304" s="37"/>
      <c r="H304" s="38" t="s">
        <v>702</v>
      </c>
      <c r="I304" s="37"/>
      <c r="J304" s="33">
        <v>338</v>
      </c>
      <c r="K304" s="34" t="s">
        <v>40</v>
      </c>
    </row>
    <row r="305" ht="41" customHeight="1" spans="1:11">
      <c r="A305" s="35"/>
      <c r="B305" s="36">
        <v>13306020260001</v>
      </c>
      <c r="C305" s="38" t="s">
        <v>703</v>
      </c>
      <c r="D305" s="37"/>
      <c r="E305" s="37"/>
      <c r="F305" s="37"/>
      <c r="G305" s="37"/>
      <c r="H305" s="38" t="s">
        <v>702</v>
      </c>
      <c r="I305" s="37"/>
      <c r="J305" s="33">
        <f>338*0.2</f>
        <v>67.6</v>
      </c>
      <c r="K305" s="34" t="s">
        <v>40</v>
      </c>
    </row>
    <row r="306" ht="41" customHeight="1" spans="1:11">
      <c r="A306" s="102">
        <v>74</v>
      </c>
      <c r="B306" s="49">
        <v>12406000020000</v>
      </c>
      <c r="C306" s="103" t="s">
        <v>704</v>
      </c>
      <c r="D306" s="103" t="s">
        <v>705</v>
      </c>
      <c r="E306" s="103" t="s">
        <v>706</v>
      </c>
      <c r="F306" s="37"/>
      <c r="G306" s="37"/>
      <c r="H306" s="103" t="s">
        <v>35</v>
      </c>
      <c r="I306" s="37"/>
      <c r="J306" s="104">
        <v>540</v>
      </c>
      <c r="K306" s="53" t="s">
        <v>40</v>
      </c>
    </row>
    <row r="307" ht="41" customHeight="1" spans="1:11">
      <c r="A307" s="102">
        <v>75</v>
      </c>
      <c r="B307" s="49">
        <v>13105170050000</v>
      </c>
      <c r="C307" s="50" t="s">
        <v>707</v>
      </c>
      <c r="D307" s="50" t="s">
        <v>708</v>
      </c>
      <c r="E307" s="50" t="s">
        <v>709</v>
      </c>
      <c r="F307" s="37"/>
      <c r="G307" s="37"/>
      <c r="H307" s="50" t="s">
        <v>702</v>
      </c>
      <c r="I307" s="37"/>
      <c r="J307" s="51">
        <v>166</v>
      </c>
      <c r="K307" s="53" t="s">
        <v>40</v>
      </c>
    </row>
    <row r="308" ht="41" customHeight="1" spans="1:11">
      <c r="A308" s="52">
        <v>76</v>
      </c>
      <c r="B308" s="49">
        <v>13105170060000</v>
      </c>
      <c r="C308" s="103" t="s">
        <v>710</v>
      </c>
      <c r="D308" s="103" t="s">
        <v>711</v>
      </c>
      <c r="E308" s="50" t="s">
        <v>712</v>
      </c>
      <c r="F308" s="50" t="s">
        <v>713</v>
      </c>
      <c r="G308" s="37"/>
      <c r="H308" s="50" t="s">
        <v>702</v>
      </c>
      <c r="I308" s="50" t="s">
        <v>714</v>
      </c>
      <c r="J308" s="105">
        <v>3000</v>
      </c>
      <c r="K308" s="53" t="s">
        <v>40</v>
      </c>
    </row>
    <row r="309" ht="41" customHeight="1" spans="1:11">
      <c r="A309" s="54"/>
      <c r="B309" s="49">
        <v>13105170060001</v>
      </c>
      <c r="C309" s="103" t="s">
        <v>715</v>
      </c>
      <c r="D309" s="37"/>
      <c r="E309" s="37"/>
      <c r="F309" s="37"/>
      <c r="G309" s="37"/>
      <c r="H309" s="50" t="s">
        <v>702</v>
      </c>
      <c r="I309" s="37"/>
      <c r="J309" s="51">
        <f>3000*0.5</f>
        <v>1500</v>
      </c>
      <c r="K309" s="53" t="s">
        <v>40</v>
      </c>
    </row>
    <row r="310" ht="41" customHeight="1" spans="1:11">
      <c r="A310" s="55"/>
      <c r="B310" s="49">
        <v>13105170060011</v>
      </c>
      <c r="C310" s="103" t="s">
        <v>716</v>
      </c>
      <c r="D310" s="37"/>
      <c r="E310" s="37"/>
      <c r="F310" s="37"/>
      <c r="G310" s="37"/>
      <c r="H310" s="50" t="s">
        <v>702</v>
      </c>
      <c r="I310" s="37"/>
      <c r="J310" s="51">
        <f>3000*0.75</f>
        <v>2250</v>
      </c>
      <c r="K310" s="53" t="s">
        <v>40</v>
      </c>
    </row>
    <row r="311" ht="41" customHeight="1" spans="1:11">
      <c r="A311" s="52">
        <v>77</v>
      </c>
      <c r="B311" s="49">
        <v>13105170070000</v>
      </c>
      <c r="C311" s="50" t="s">
        <v>717</v>
      </c>
      <c r="D311" s="103" t="s">
        <v>718</v>
      </c>
      <c r="E311" s="50" t="s">
        <v>719</v>
      </c>
      <c r="F311" s="50" t="s">
        <v>720</v>
      </c>
      <c r="G311" s="37"/>
      <c r="H311" s="50" t="s">
        <v>505</v>
      </c>
      <c r="I311" s="37"/>
      <c r="J311" s="51">
        <v>867</v>
      </c>
      <c r="K311" s="53" t="s">
        <v>40</v>
      </c>
    </row>
    <row r="312" ht="41" customHeight="1" spans="1:11">
      <c r="A312" s="55"/>
      <c r="B312" s="49">
        <v>13105170070001</v>
      </c>
      <c r="C312" s="50" t="s">
        <v>721</v>
      </c>
      <c r="D312" s="37"/>
      <c r="E312" s="37"/>
      <c r="F312" s="37"/>
      <c r="G312" s="37"/>
      <c r="H312" s="50" t="s">
        <v>505</v>
      </c>
      <c r="I312" s="37"/>
      <c r="J312" s="51">
        <v>867</v>
      </c>
      <c r="K312" s="53" t="s">
        <v>40</v>
      </c>
    </row>
    <row r="313" ht="41" customHeight="1" spans="1:11">
      <c r="A313" s="102">
        <v>78</v>
      </c>
      <c r="B313" s="49">
        <v>13105170080000</v>
      </c>
      <c r="C313" s="50" t="s">
        <v>722</v>
      </c>
      <c r="D313" s="103" t="s">
        <v>723</v>
      </c>
      <c r="E313" s="50" t="s">
        <v>724</v>
      </c>
      <c r="F313" s="37"/>
      <c r="G313" s="50" t="s">
        <v>725</v>
      </c>
      <c r="H313" s="103" t="s">
        <v>702</v>
      </c>
      <c r="I313" s="37"/>
      <c r="J313" s="51">
        <v>1480</v>
      </c>
      <c r="K313" s="53" t="s">
        <v>40</v>
      </c>
    </row>
    <row r="314" ht="41" customHeight="1" spans="1:11">
      <c r="A314" s="88">
        <v>78</v>
      </c>
      <c r="B314" s="160" t="s">
        <v>726</v>
      </c>
      <c r="C314" s="88" t="s">
        <v>727</v>
      </c>
      <c r="D314" s="88"/>
      <c r="E314" s="88"/>
      <c r="F314" s="88"/>
      <c r="G314" s="88"/>
      <c r="H314" s="88" t="s">
        <v>702</v>
      </c>
      <c r="I314" s="89"/>
      <c r="J314" s="59">
        <v>1480</v>
      </c>
      <c r="K314" s="57" t="s">
        <v>40</v>
      </c>
    </row>
    <row r="315" ht="41" customHeight="1" spans="1:11">
      <c r="A315" s="57">
        <v>79</v>
      </c>
      <c r="B315" s="156" t="s">
        <v>728</v>
      </c>
      <c r="C315" s="57" t="s">
        <v>729</v>
      </c>
      <c r="D315" s="57" t="s">
        <v>730</v>
      </c>
      <c r="E315" s="57" t="s">
        <v>731</v>
      </c>
      <c r="F315" s="57" t="s">
        <v>732</v>
      </c>
      <c r="G315" s="57"/>
      <c r="H315" s="57" t="s">
        <v>465</v>
      </c>
      <c r="I315" s="58" t="s">
        <v>733</v>
      </c>
      <c r="J315" s="59">
        <v>3900</v>
      </c>
      <c r="K315" s="57" t="s">
        <v>40</v>
      </c>
    </row>
    <row r="316" ht="41" customHeight="1" spans="1:11">
      <c r="A316" s="57"/>
      <c r="B316" s="156" t="s">
        <v>734</v>
      </c>
      <c r="C316" s="57" t="s">
        <v>735</v>
      </c>
      <c r="D316" s="57"/>
      <c r="E316" s="57"/>
      <c r="F316" s="57"/>
      <c r="G316" s="57"/>
      <c r="H316" s="57" t="s">
        <v>465</v>
      </c>
      <c r="I316" s="58"/>
      <c r="J316" s="59">
        <f>3900*0.75</f>
        <v>2925</v>
      </c>
      <c r="K316" s="57" t="s">
        <v>40</v>
      </c>
    </row>
    <row r="317" ht="41" customHeight="1" spans="1:11">
      <c r="A317" s="57">
        <v>80</v>
      </c>
      <c r="B317" s="156" t="s">
        <v>736</v>
      </c>
      <c r="C317" s="57" t="s">
        <v>737</v>
      </c>
      <c r="D317" s="57" t="s">
        <v>738</v>
      </c>
      <c r="E317" s="57" t="s">
        <v>739</v>
      </c>
      <c r="F317" s="57"/>
      <c r="G317" s="57"/>
      <c r="H317" s="57" t="s">
        <v>702</v>
      </c>
      <c r="I317" s="58" t="s">
        <v>740</v>
      </c>
      <c r="J317" s="59">
        <v>270</v>
      </c>
      <c r="K317" s="57" t="s">
        <v>40</v>
      </c>
    </row>
    <row r="318" ht="41" customHeight="1" spans="1:11">
      <c r="A318" s="56">
        <v>81</v>
      </c>
      <c r="B318" s="156" t="s">
        <v>741</v>
      </c>
      <c r="C318" s="57" t="s">
        <v>742</v>
      </c>
      <c r="D318" s="57" t="s">
        <v>743</v>
      </c>
      <c r="E318" s="57" t="s">
        <v>744</v>
      </c>
      <c r="F318" s="57" t="s">
        <v>745</v>
      </c>
      <c r="G318" s="57"/>
      <c r="H318" s="57" t="s">
        <v>702</v>
      </c>
      <c r="I318" s="58" t="s">
        <v>746</v>
      </c>
      <c r="J318" s="59">
        <v>720</v>
      </c>
      <c r="K318" s="57" t="s">
        <v>40</v>
      </c>
    </row>
    <row r="319" ht="41" customHeight="1" spans="1:11">
      <c r="A319" s="62"/>
      <c r="B319" s="156" t="s">
        <v>747</v>
      </c>
      <c r="C319" s="57" t="s">
        <v>748</v>
      </c>
      <c r="D319" s="57"/>
      <c r="E319" s="57"/>
      <c r="F319" s="57"/>
      <c r="G319" s="57"/>
      <c r="H319" s="57" t="s">
        <v>702</v>
      </c>
      <c r="I319" s="58"/>
      <c r="J319" s="59">
        <f>720*0.5</f>
        <v>360</v>
      </c>
      <c r="K319" s="57" t="s">
        <v>40</v>
      </c>
    </row>
    <row r="320" ht="41" customHeight="1" spans="1:11">
      <c r="A320" s="57">
        <v>82</v>
      </c>
      <c r="B320" s="156" t="s">
        <v>749</v>
      </c>
      <c r="C320" s="57" t="s">
        <v>750</v>
      </c>
      <c r="D320" s="57" t="s">
        <v>751</v>
      </c>
      <c r="E320" s="57" t="s">
        <v>752</v>
      </c>
      <c r="F320" s="57"/>
      <c r="G320" s="57"/>
      <c r="H320" s="57" t="s">
        <v>753</v>
      </c>
      <c r="I320" s="58" t="s">
        <v>754</v>
      </c>
      <c r="J320" s="59">
        <v>3467</v>
      </c>
      <c r="K320" s="57" t="s">
        <v>40</v>
      </c>
    </row>
    <row r="321" ht="41" customHeight="1" spans="1:11">
      <c r="A321" s="86">
        <v>83</v>
      </c>
      <c r="B321" s="36">
        <v>13105170130000</v>
      </c>
      <c r="C321" s="38" t="s">
        <v>755</v>
      </c>
      <c r="D321" s="38" t="s">
        <v>756</v>
      </c>
      <c r="E321" s="38" t="s">
        <v>757</v>
      </c>
      <c r="F321" s="37"/>
      <c r="G321" s="37"/>
      <c r="H321" s="38" t="s">
        <v>753</v>
      </c>
      <c r="I321" s="38" t="s">
        <v>758</v>
      </c>
      <c r="J321" s="33">
        <v>5200</v>
      </c>
      <c r="K321" s="34" t="s">
        <v>40</v>
      </c>
    </row>
    <row r="322" ht="41" customHeight="1" spans="1:11">
      <c r="A322" s="86">
        <v>84</v>
      </c>
      <c r="B322" s="36">
        <v>13105170140000</v>
      </c>
      <c r="C322" s="38" t="s">
        <v>759</v>
      </c>
      <c r="D322" s="38" t="s">
        <v>760</v>
      </c>
      <c r="E322" s="38" t="s">
        <v>761</v>
      </c>
      <c r="F322" s="37"/>
      <c r="G322" s="37"/>
      <c r="H322" s="38" t="s">
        <v>753</v>
      </c>
      <c r="I322" s="38" t="s">
        <v>762</v>
      </c>
      <c r="J322" s="33">
        <v>7667</v>
      </c>
      <c r="K322" s="34" t="s">
        <v>40</v>
      </c>
    </row>
    <row r="323" ht="41" customHeight="1" spans="1:11">
      <c r="A323" s="40">
        <v>85</v>
      </c>
      <c r="B323" s="36">
        <v>13105010230000</v>
      </c>
      <c r="C323" s="38" t="s">
        <v>763</v>
      </c>
      <c r="D323" s="38" t="s">
        <v>764</v>
      </c>
      <c r="E323" s="38" t="s">
        <v>765</v>
      </c>
      <c r="F323" s="38" t="s">
        <v>766</v>
      </c>
      <c r="G323" s="37"/>
      <c r="H323" s="38" t="s">
        <v>753</v>
      </c>
      <c r="I323" s="38" t="s">
        <v>18</v>
      </c>
      <c r="J323" s="33">
        <v>2678</v>
      </c>
      <c r="K323" s="34" t="s">
        <v>40</v>
      </c>
    </row>
    <row r="324" ht="41" customHeight="1" spans="1:11">
      <c r="A324" s="29"/>
      <c r="B324" s="36">
        <v>13105010230001</v>
      </c>
      <c r="C324" s="38" t="s">
        <v>767</v>
      </c>
      <c r="D324" s="37"/>
      <c r="E324" s="37"/>
      <c r="F324" s="37"/>
      <c r="G324" s="37"/>
      <c r="H324" s="38" t="s">
        <v>753</v>
      </c>
      <c r="I324" s="37"/>
      <c r="J324" s="33">
        <f>2678*0.5</f>
        <v>1339</v>
      </c>
      <c r="K324" s="34" t="s">
        <v>40</v>
      </c>
    </row>
    <row r="325" ht="41" customHeight="1" spans="1:11">
      <c r="A325" s="35"/>
      <c r="B325" s="36">
        <v>13105010230002</v>
      </c>
      <c r="C325" s="38" t="s">
        <v>768</v>
      </c>
      <c r="D325" s="37"/>
      <c r="E325" s="37"/>
      <c r="F325" s="37"/>
      <c r="G325" s="37"/>
      <c r="H325" s="38" t="s">
        <v>753</v>
      </c>
      <c r="I325" s="37"/>
      <c r="J325" s="33">
        <f>2678*0.5</f>
        <v>1339</v>
      </c>
      <c r="K325" s="34" t="s">
        <v>40</v>
      </c>
    </row>
    <row r="326" ht="41" customHeight="1" spans="1:11">
      <c r="A326" s="86">
        <v>86</v>
      </c>
      <c r="B326" s="36">
        <v>13105190020000</v>
      </c>
      <c r="C326" s="38" t="s">
        <v>769</v>
      </c>
      <c r="D326" s="38" t="s">
        <v>770</v>
      </c>
      <c r="E326" s="38" t="s">
        <v>771</v>
      </c>
      <c r="F326" s="37"/>
      <c r="G326" s="37"/>
      <c r="H326" s="38" t="s">
        <v>772</v>
      </c>
      <c r="I326" s="37"/>
      <c r="J326" s="33">
        <v>172</v>
      </c>
      <c r="K326" s="34" t="s">
        <v>40</v>
      </c>
    </row>
    <row r="327" ht="41" customHeight="1" spans="1:11">
      <c r="A327" s="86">
        <v>87</v>
      </c>
      <c r="B327" s="36">
        <v>13105190030000</v>
      </c>
      <c r="C327" s="38" t="s">
        <v>773</v>
      </c>
      <c r="D327" s="38" t="s">
        <v>774</v>
      </c>
      <c r="E327" s="38" t="s">
        <v>775</v>
      </c>
      <c r="F327" s="37"/>
      <c r="G327" s="37"/>
      <c r="H327" s="38" t="s">
        <v>702</v>
      </c>
      <c r="I327" s="38" t="s">
        <v>776</v>
      </c>
      <c r="J327" s="33">
        <v>171</v>
      </c>
      <c r="K327" s="34" t="s">
        <v>40</v>
      </c>
    </row>
    <row r="328" ht="41" customHeight="1" spans="1:11">
      <c r="A328" s="40">
        <v>88</v>
      </c>
      <c r="B328" s="36">
        <v>12406000030000</v>
      </c>
      <c r="C328" s="38" t="s">
        <v>777</v>
      </c>
      <c r="D328" s="38" t="s">
        <v>778</v>
      </c>
      <c r="E328" s="38" t="s">
        <v>779</v>
      </c>
      <c r="F328" s="37"/>
      <c r="G328" s="37"/>
      <c r="H328" s="38" t="s">
        <v>35</v>
      </c>
      <c r="I328" s="37"/>
      <c r="J328" s="33">
        <v>128</v>
      </c>
      <c r="K328" s="34" t="s">
        <v>40</v>
      </c>
    </row>
    <row r="329" ht="41" customHeight="1" spans="1:11">
      <c r="A329" s="107"/>
      <c r="B329" s="161" t="s">
        <v>780</v>
      </c>
      <c r="C329" s="109" t="s">
        <v>781</v>
      </c>
      <c r="D329" s="108"/>
      <c r="E329" s="108"/>
      <c r="F329" s="108"/>
      <c r="G329" s="108"/>
      <c r="H329" s="109" t="s">
        <v>35</v>
      </c>
      <c r="I329" s="108"/>
      <c r="J329" s="33">
        <v>128</v>
      </c>
      <c r="K329" s="34" t="s">
        <v>40</v>
      </c>
    </row>
    <row r="330" ht="41" customHeight="1" spans="1:11">
      <c r="A330" s="86">
        <v>89</v>
      </c>
      <c r="B330" s="36">
        <v>12406000040000</v>
      </c>
      <c r="C330" s="38" t="s">
        <v>782</v>
      </c>
      <c r="D330" s="72" t="s">
        <v>783</v>
      </c>
      <c r="E330" s="38" t="s">
        <v>784</v>
      </c>
      <c r="F330" s="37"/>
      <c r="G330" s="37"/>
      <c r="H330" s="72" t="s">
        <v>35</v>
      </c>
      <c r="I330" s="72" t="s">
        <v>785</v>
      </c>
      <c r="J330" s="33">
        <v>42</v>
      </c>
      <c r="K330" s="95" t="s">
        <v>40</v>
      </c>
    </row>
    <row r="331" ht="41" customHeight="1" spans="1:11">
      <c r="A331" s="86">
        <v>90</v>
      </c>
      <c r="B331" s="36">
        <v>12406000050000</v>
      </c>
      <c r="C331" s="38" t="s">
        <v>786</v>
      </c>
      <c r="D331" s="72" t="s">
        <v>787</v>
      </c>
      <c r="E331" s="72" t="s">
        <v>788</v>
      </c>
      <c r="F331" s="37"/>
      <c r="G331" s="37"/>
      <c r="H331" s="72" t="s">
        <v>789</v>
      </c>
      <c r="I331" s="72" t="s">
        <v>790</v>
      </c>
      <c r="J331" s="33">
        <v>16</v>
      </c>
      <c r="K331" s="34" t="s">
        <v>40</v>
      </c>
    </row>
    <row r="332" ht="41" customHeight="1" spans="1:11">
      <c r="A332" s="86">
        <v>91</v>
      </c>
      <c r="B332" s="36">
        <v>13105010240000</v>
      </c>
      <c r="C332" s="38" t="s">
        <v>791</v>
      </c>
      <c r="D332" s="72" t="s">
        <v>792</v>
      </c>
      <c r="E332" s="38" t="s">
        <v>793</v>
      </c>
      <c r="F332" s="37"/>
      <c r="G332" s="37"/>
      <c r="H332" s="72" t="s">
        <v>481</v>
      </c>
      <c r="I332" s="37"/>
      <c r="J332" s="33">
        <v>4</v>
      </c>
      <c r="K332" s="34" t="s">
        <v>19</v>
      </c>
    </row>
    <row r="333" ht="41" customHeight="1" spans="1:11">
      <c r="A333" s="40">
        <v>92</v>
      </c>
      <c r="B333" s="36">
        <v>13105010250000</v>
      </c>
      <c r="C333" s="72" t="s">
        <v>794</v>
      </c>
      <c r="D333" s="72" t="s">
        <v>795</v>
      </c>
      <c r="E333" s="38" t="s">
        <v>796</v>
      </c>
      <c r="F333" s="37"/>
      <c r="G333" s="38" t="s">
        <v>797</v>
      </c>
      <c r="H333" s="72" t="s">
        <v>481</v>
      </c>
      <c r="I333" s="37"/>
      <c r="J333" s="33">
        <v>20</v>
      </c>
      <c r="K333" s="34" t="s">
        <v>19</v>
      </c>
    </row>
    <row r="334" ht="41" customHeight="1" spans="1:11">
      <c r="A334" s="35"/>
      <c r="B334" s="36">
        <v>13105010250100</v>
      </c>
      <c r="C334" s="72" t="s">
        <v>798</v>
      </c>
      <c r="D334" s="37"/>
      <c r="E334" s="37"/>
      <c r="F334" s="37"/>
      <c r="G334" s="37"/>
      <c r="H334" s="72" t="s">
        <v>481</v>
      </c>
      <c r="I334" s="72" t="s">
        <v>799</v>
      </c>
      <c r="J334" s="73">
        <v>20</v>
      </c>
      <c r="K334" s="34" t="s">
        <v>19</v>
      </c>
    </row>
    <row r="335" ht="41" customHeight="1" spans="1:11">
      <c r="A335" s="40">
        <v>93</v>
      </c>
      <c r="B335" s="36">
        <v>13105010260000</v>
      </c>
      <c r="C335" s="72" t="s">
        <v>800</v>
      </c>
      <c r="D335" s="72" t="s">
        <v>801</v>
      </c>
      <c r="E335" s="72" t="s">
        <v>802</v>
      </c>
      <c r="F335" s="38" t="s">
        <v>803</v>
      </c>
      <c r="G335" s="37"/>
      <c r="H335" s="72" t="s">
        <v>481</v>
      </c>
      <c r="I335" s="38" t="s">
        <v>804</v>
      </c>
      <c r="J335" s="33">
        <v>8</v>
      </c>
      <c r="K335" s="95" t="s">
        <v>40</v>
      </c>
    </row>
    <row r="336" ht="41" customHeight="1" spans="1:11">
      <c r="A336" s="35"/>
      <c r="B336" s="36">
        <v>13105010260001</v>
      </c>
      <c r="C336" s="72" t="s">
        <v>805</v>
      </c>
      <c r="D336" s="37"/>
      <c r="E336" s="37"/>
      <c r="F336" s="37"/>
      <c r="G336" s="37"/>
      <c r="H336" s="72" t="s">
        <v>481</v>
      </c>
      <c r="I336" s="37"/>
      <c r="J336" s="33">
        <v>8</v>
      </c>
      <c r="K336" s="95" t="s">
        <v>40</v>
      </c>
    </row>
    <row r="337" ht="41" customHeight="1" spans="1:11">
      <c r="A337" s="86">
        <v>94</v>
      </c>
      <c r="B337" s="36">
        <v>13105010270000</v>
      </c>
      <c r="C337" s="72" t="s">
        <v>806</v>
      </c>
      <c r="D337" s="72" t="s">
        <v>807</v>
      </c>
      <c r="E337" s="38" t="s">
        <v>808</v>
      </c>
      <c r="F337" s="37"/>
      <c r="G337" s="37"/>
      <c r="H337" s="72" t="s">
        <v>481</v>
      </c>
      <c r="I337" s="37"/>
      <c r="J337" s="33">
        <v>4</v>
      </c>
      <c r="K337" s="34" t="s">
        <v>40</v>
      </c>
    </row>
    <row r="338" ht="41" customHeight="1" spans="1:11">
      <c r="A338" s="86">
        <v>95</v>
      </c>
      <c r="B338" s="36">
        <v>13105010280000</v>
      </c>
      <c r="C338" s="72" t="s">
        <v>809</v>
      </c>
      <c r="D338" s="72" t="s">
        <v>810</v>
      </c>
      <c r="E338" s="38" t="s">
        <v>811</v>
      </c>
      <c r="F338" s="37"/>
      <c r="G338" s="37"/>
      <c r="H338" s="72" t="s">
        <v>481</v>
      </c>
      <c r="I338" s="37"/>
      <c r="J338" s="33">
        <v>4</v>
      </c>
      <c r="K338" s="95" t="s">
        <v>40</v>
      </c>
    </row>
    <row r="339" ht="41" customHeight="1" spans="1:11">
      <c r="A339" s="40">
        <v>96</v>
      </c>
      <c r="B339" s="36">
        <v>13105010290000</v>
      </c>
      <c r="C339" s="72" t="s">
        <v>812</v>
      </c>
      <c r="D339" s="72" t="s">
        <v>813</v>
      </c>
      <c r="E339" s="38" t="s">
        <v>814</v>
      </c>
      <c r="F339" s="38" t="s">
        <v>815</v>
      </c>
      <c r="G339" s="37"/>
      <c r="H339" s="72" t="s">
        <v>481</v>
      </c>
      <c r="I339" s="72" t="s">
        <v>18</v>
      </c>
      <c r="J339" s="73">
        <v>22</v>
      </c>
      <c r="K339" s="95" t="s">
        <v>40</v>
      </c>
    </row>
    <row r="340" ht="41" customHeight="1" spans="1:11">
      <c r="A340" s="29"/>
      <c r="B340" s="36">
        <v>13105010290001</v>
      </c>
      <c r="C340" s="72" t="s">
        <v>816</v>
      </c>
      <c r="D340" s="37"/>
      <c r="E340" s="37"/>
      <c r="F340" s="37"/>
      <c r="G340" s="37"/>
      <c r="H340" s="72" t="s">
        <v>481</v>
      </c>
      <c r="I340" s="37"/>
      <c r="J340" s="33">
        <v>22</v>
      </c>
      <c r="K340" s="95" t="s">
        <v>40</v>
      </c>
    </row>
    <row r="341" ht="41" customHeight="1" spans="1:11">
      <c r="A341" s="35"/>
      <c r="B341" s="96">
        <v>373105010290011</v>
      </c>
      <c r="C341" s="38" t="s">
        <v>817</v>
      </c>
      <c r="D341" s="37"/>
      <c r="E341" s="37"/>
      <c r="F341" s="37"/>
      <c r="G341" s="37"/>
      <c r="H341" s="38" t="s">
        <v>481</v>
      </c>
      <c r="I341" s="37"/>
      <c r="J341" s="33">
        <f>22*0.15</f>
        <v>3.3</v>
      </c>
      <c r="K341" s="34" t="s">
        <v>40</v>
      </c>
    </row>
    <row r="342" ht="41" customHeight="1" spans="1:11">
      <c r="A342" s="40">
        <v>97</v>
      </c>
      <c r="B342" s="36">
        <v>13306020270000</v>
      </c>
      <c r="C342" s="38" t="s">
        <v>818</v>
      </c>
      <c r="D342" s="38" t="s">
        <v>819</v>
      </c>
      <c r="E342" s="38" t="s">
        <v>820</v>
      </c>
      <c r="F342" s="37"/>
      <c r="G342" s="37"/>
      <c r="H342" s="38" t="s">
        <v>481</v>
      </c>
      <c r="I342" s="38" t="s">
        <v>18</v>
      </c>
      <c r="J342" s="33">
        <v>35</v>
      </c>
      <c r="K342" s="34" t="s">
        <v>40</v>
      </c>
    </row>
    <row r="343" ht="41" customHeight="1" spans="1:11">
      <c r="A343" s="29"/>
      <c r="B343" s="36">
        <v>13306020270001</v>
      </c>
      <c r="C343" s="38" t="s">
        <v>821</v>
      </c>
      <c r="D343" s="37"/>
      <c r="E343" s="37"/>
      <c r="F343" s="37"/>
      <c r="G343" s="37"/>
      <c r="H343" s="38" t="s">
        <v>481</v>
      </c>
      <c r="I343" s="37"/>
      <c r="J343" s="33">
        <f>35*0.2</f>
        <v>7</v>
      </c>
      <c r="K343" s="34" t="s">
        <v>40</v>
      </c>
    </row>
    <row r="344" ht="41" customHeight="1" spans="1:11">
      <c r="A344" s="35"/>
      <c r="B344" s="96">
        <v>373306020270011</v>
      </c>
      <c r="C344" s="38" t="s">
        <v>822</v>
      </c>
      <c r="D344" s="37"/>
      <c r="E344" s="37"/>
      <c r="F344" s="37"/>
      <c r="G344" s="37"/>
      <c r="H344" s="38" t="s">
        <v>481</v>
      </c>
      <c r="I344" s="37"/>
      <c r="J344" s="33">
        <f>35*0.15</f>
        <v>5.25</v>
      </c>
      <c r="K344" s="34" t="s">
        <v>40</v>
      </c>
    </row>
    <row r="345" ht="41" customHeight="1" spans="1:11">
      <c r="A345" s="40">
        <v>98</v>
      </c>
      <c r="B345" s="36">
        <v>13105010300000</v>
      </c>
      <c r="C345" s="38" t="s">
        <v>823</v>
      </c>
      <c r="D345" s="38" t="s">
        <v>824</v>
      </c>
      <c r="E345" s="38" t="s">
        <v>825</v>
      </c>
      <c r="F345" s="37"/>
      <c r="G345" s="38" t="s">
        <v>826</v>
      </c>
      <c r="H345" s="38" t="s">
        <v>481</v>
      </c>
      <c r="I345" s="37"/>
      <c r="J345" s="33">
        <v>66</v>
      </c>
      <c r="K345" s="34" t="s">
        <v>19</v>
      </c>
    </row>
    <row r="346" ht="41" customHeight="1" spans="1:11">
      <c r="A346" s="35"/>
      <c r="B346" s="36">
        <v>13105010300100</v>
      </c>
      <c r="C346" s="38" t="s">
        <v>827</v>
      </c>
      <c r="D346" s="37"/>
      <c r="E346" s="37"/>
      <c r="F346" s="37"/>
      <c r="G346" s="37"/>
      <c r="H346" s="38" t="s">
        <v>481</v>
      </c>
      <c r="I346" s="37"/>
      <c r="J346" s="33">
        <v>66</v>
      </c>
      <c r="K346" s="34" t="s">
        <v>19</v>
      </c>
    </row>
    <row r="347" ht="41" customHeight="1" spans="1:11">
      <c r="A347" s="86">
        <v>99</v>
      </c>
      <c r="B347" s="36">
        <v>13105010310000</v>
      </c>
      <c r="C347" s="38" t="s">
        <v>828</v>
      </c>
      <c r="D347" s="38" t="s">
        <v>829</v>
      </c>
      <c r="E347" s="38" t="s">
        <v>830</v>
      </c>
      <c r="F347" s="37"/>
      <c r="G347" s="37"/>
      <c r="H347" s="38" t="s">
        <v>481</v>
      </c>
      <c r="I347" s="37"/>
      <c r="J347" s="33">
        <v>2</v>
      </c>
      <c r="K347" s="34" t="s">
        <v>40</v>
      </c>
    </row>
    <row r="348" ht="41" customHeight="1" spans="1:11">
      <c r="A348" s="40">
        <v>100</v>
      </c>
      <c r="B348" s="36">
        <v>13306020280000</v>
      </c>
      <c r="C348" s="38" t="s">
        <v>831</v>
      </c>
      <c r="D348" s="38" t="s">
        <v>832</v>
      </c>
      <c r="E348" s="38" t="s">
        <v>833</v>
      </c>
      <c r="F348" s="38" t="s">
        <v>834</v>
      </c>
      <c r="G348" s="37"/>
      <c r="H348" s="38" t="s">
        <v>481</v>
      </c>
      <c r="I348" s="38" t="s">
        <v>835</v>
      </c>
      <c r="J348" s="33">
        <v>324</v>
      </c>
      <c r="K348" s="34" t="s">
        <v>40</v>
      </c>
    </row>
    <row r="349" ht="41" customHeight="1" spans="1:11">
      <c r="A349" s="29"/>
      <c r="B349" s="36">
        <v>13306020280001</v>
      </c>
      <c r="C349" s="38" t="s">
        <v>836</v>
      </c>
      <c r="D349" s="37"/>
      <c r="E349" s="37"/>
      <c r="F349" s="37"/>
      <c r="G349" s="37"/>
      <c r="H349" s="38" t="s">
        <v>481</v>
      </c>
      <c r="I349" s="37"/>
      <c r="J349" s="33">
        <f>324*0.2</f>
        <v>64.8</v>
      </c>
      <c r="K349" s="34" t="s">
        <v>40</v>
      </c>
    </row>
    <row r="350" ht="41" customHeight="1" spans="1:11">
      <c r="A350" s="35"/>
      <c r="B350" s="36">
        <v>13306020280011</v>
      </c>
      <c r="C350" s="38" t="s">
        <v>837</v>
      </c>
      <c r="D350" s="37"/>
      <c r="E350" s="37"/>
      <c r="F350" s="37"/>
      <c r="G350" s="37"/>
      <c r="H350" s="38" t="s">
        <v>481</v>
      </c>
      <c r="I350" s="37"/>
      <c r="J350" s="33">
        <f>324*0.5</f>
        <v>162</v>
      </c>
      <c r="K350" s="34" t="s">
        <v>40</v>
      </c>
    </row>
    <row r="351" ht="41" customHeight="1" spans="1:11">
      <c r="A351" s="86">
        <v>101</v>
      </c>
      <c r="B351" s="36">
        <v>13306020290000</v>
      </c>
      <c r="C351" s="38" t="s">
        <v>838</v>
      </c>
      <c r="D351" s="38" t="s">
        <v>839</v>
      </c>
      <c r="E351" s="38" t="s">
        <v>840</v>
      </c>
      <c r="F351" s="37"/>
      <c r="G351" s="38" t="s">
        <v>841</v>
      </c>
      <c r="H351" s="38" t="s">
        <v>481</v>
      </c>
      <c r="I351" s="37"/>
      <c r="J351" s="33">
        <v>433</v>
      </c>
      <c r="K351" s="34" t="s">
        <v>40</v>
      </c>
    </row>
    <row r="352" ht="41" customHeight="1" spans="1:11">
      <c r="A352" s="97"/>
      <c r="B352" s="36">
        <v>13306020290001</v>
      </c>
      <c r="C352" s="38" t="s">
        <v>842</v>
      </c>
      <c r="D352" s="37"/>
      <c r="E352" s="37"/>
      <c r="F352" s="37"/>
      <c r="G352" s="37"/>
      <c r="H352" s="38" t="s">
        <v>481</v>
      </c>
      <c r="I352" s="37"/>
      <c r="J352" s="33">
        <f>433*0.2</f>
        <v>86.6</v>
      </c>
      <c r="K352" s="34" t="s">
        <v>40</v>
      </c>
    </row>
    <row r="353" ht="41" customHeight="1" spans="1:11">
      <c r="A353" s="98"/>
      <c r="B353" s="36">
        <v>13306020290100</v>
      </c>
      <c r="C353" s="38" t="s">
        <v>843</v>
      </c>
      <c r="D353" s="37"/>
      <c r="E353" s="37"/>
      <c r="F353" s="37"/>
      <c r="G353" s="37"/>
      <c r="H353" s="38" t="s">
        <v>481</v>
      </c>
      <c r="I353" s="37"/>
      <c r="J353" s="33">
        <v>433</v>
      </c>
      <c r="K353" s="34" t="s">
        <v>40</v>
      </c>
    </row>
    <row r="354" ht="41" customHeight="1" spans="1:11">
      <c r="A354" s="40">
        <v>102</v>
      </c>
      <c r="B354" s="36">
        <v>13306020300000</v>
      </c>
      <c r="C354" s="38" t="s">
        <v>844</v>
      </c>
      <c r="D354" s="38" t="s">
        <v>845</v>
      </c>
      <c r="E354" s="38" t="s">
        <v>846</v>
      </c>
      <c r="F354" s="37"/>
      <c r="G354" s="38" t="s">
        <v>847</v>
      </c>
      <c r="H354" s="38" t="s">
        <v>481</v>
      </c>
      <c r="I354" s="38" t="s">
        <v>18</v>
      </c>
      <c r="J354" s="33">
        <v>1292</v>
      </c>
      <c r="K354" s="34" t="s">
        <v>40</v>
      </c>
    </row>
    <row r="355" ht="41" customHeight="1" spans="1:11">
      <c r="A355" s="29"/>
      <c r="B355" s="36">
        <v>13306020300001</v>
      </c>
      <c r="C355" s="38" t="s">
        <v>848</v>
      </c>
      <c r="D355" s="37"/>
      <c r="E355" s="37"/>
      <c r="F355" s="37"/>
      <c r="G355" s="37"/>
      <c r="H355" s="38" t="s">
        <v>481</v>
      </c>
      <c r="I355" s="37"/>
      <c r="J355" s="33">
        <f>1292*0.2</f>
        <v>258.4</v>
      </c>
      <c r="K355" s="34" t="s">
        <v>40</v>
      </c>
    </row>
    <row r="356" ht="41" customHeight="1" spans="1:11">
      <c r="A356" s="35"/>
      <c r="B356" s="36">
        <v>13306020300100</v>
      </c>
      <c r="C356" s="38" t="s">
        <v>849</v>
      </c>
      <c r="D356" s="37"/>
      <c r="E356" s="37"/>
      <c r="F356" s="37"/>
      <c r="G356" s="37"/>
      <c r="H356" s="38" t="s">
        <v>481</v>
      </c>
      <c r="I356" s="37"/>
      <c r="J356" s="33">
        <v>1292</v>
      </c>
      <c r="K356" s="34" t="s">
        <v>40</v>
      </c>
    </row>
    <row r="357" ht="41" customHeight="1" spans="1:11">
      <c r="A357" s="40">
        <v>103</v>
      </c>
      <c r="B357" s="36">
        <v>13306020310000</v>
      </c>
      <c r="C357" s="38" t="s">
        <v>850</v>
      </c>
      <c r="D357" s="38" t="s">
        <v>851</v>
      </c>
      <c r="E357" s="38" t="s">
        <v>852</v>
      </c>
      <c r="F357" s="37"/>
      <c r="G357" s="37"/>
      <c r="H357" s="38" t="s">
        <v>481</v>
      </c>
      <c r="I357" s="38" t="s">
        <v>18</v>
      </c>
      <c r="J357" s="33">
        <v>488</v>
      </c>
      <c r="K357" s="34" t="s">
        <v>40</v>
      </c>
    </row>
    <row r="358" ht="41" customHeight="1" spans="1:11">
      <c r="A358" s="35"/>
      <c r="B358" s="36">
        <v>13306020310001</v>
      </c>
      <c r="C358" s="38" t="s">
        <v>853</v>
      </c>
      <c r="D358" s="37"/>
      <c r="E358" s="37"/>
      <c r="F358" s="37"/>
      <c r="G358" s="37"/>
      <c r="H358" s="38" t="s">
        <v>481</v>
      </c>
      <c r="I358" s="37"/>
      <c r="J358" s="33">
        <f>488*0.2</f>
        <v>97.6</v>
      </c>
      <c r="K358" s="34" t="s">
        <v>40</v>
      </c>
    </row>
    <row r="359" ht="41" customHeight="1" spans="1:11">
      <c r="A359" s="40">
        <v>104</v>
      </c>
      <c r="B359" s="36">
        <v>13306020320000</v>
      </c>
      <c r="C359" s="38" t="s">
        <v>854</v>
      </c>
      <c r="D359" s="38" t="s">
        <v>855</v>
      </c>
      <c r="E359" s="38" t="s">
        <v>856</v>
      </c>
      <c r="F359" s="37"/>
      <c r="G359" s="37"/>
      <c r="H359" s="38" t="s">
        <v>481</v>
      </c>
      <c r="I359" s="37"/>
      <c r="J359" s="33">
        <v>19</v>
      </c>
      <c r="K359" s="34" t="s">
        <v>40</v>
      </c>
    </row>
    <row r="360" ht="41" customHeight="1" spans="1:11">
      <c r="A360" s="35"/>
      <c r="B360" s="36">
        <v>13306020320001</v>
      </c>
      <c r="C360" s="38" t="s">
        <v>857</v>
      </c>
      <c r="D360" s="37"/>
      <c r="E360" s="37"/>
      <c r="F360" s="37"/>
      <c r="G360" s="37"/>
      <c r="H360" s="38" t="s">
        <v>481</v>
      </c>
      <c r="I360" s="37"/>
      <c r="J360" s="33">
        <f>19*0.2</f>
        <v>3.8</v>
      </c>
      <c r="K360" s="34" t="s">
        <v>40</v>
      </c>
    </row>
    <row r="361" ht="41" customHeight="1" spans="1:11">
      <c r="A361" s="40">
        <v>105</v>
      </c>
      <c r="B361" s="36">
        <v>13306020330000</v>
      </c>
      <c r="C361" s="38" t="s">
        <v>858</v>
      </c>
      <c r="D361" s="38" t="s">
        <v>859</v>
      </c>
      <c r="E361" s="38" t="s">
        <v>860</v>
      </c>
      <c r="F361" s="38" t="s">
        <v>861</v>
      </c>
      <c r="G361" s="37"/>
      <c r="H361" s="38" t="s">
        <v>481</v>
      </c>
      <c r="I361" s="38" t="s">
        <v>18</v>
      </c>
      <c r="J361" s="33">
        <v>520</v>
      </c>
      <c r="K361" s="34" t="s">
        <v>40</v>
      </c>
    </row>
    <row r="362" ht="41" customHeight="1" spans="1:11">
      <c r="A362" s="35"/>
      <c r="B362" s="36">
        <v>13306020330001</v>
      </c>
      <c r="C362" s="38" t="s">
        <v>862</v>
      </c>
      <c r="D362" s="37"/>
      <c r="E362" s="37"/>
      <c r="F362" s="37"/>
      <c r="G362" s="37"/>
      <c r="H362" s="38" t="s">
        <v>481</v>
      </c>
      <c r="I362" s="37"/>
      <c r="J362" s="33">
        <f>520*0.2</f>
        <v>104</v>
      </c>
      <c r="K362" s="34" t="s">
        <v>40</v>
      </c>
    </row>
    <row r="363" ht="41" customHeight="1" spans="1:11">
      <c r="A363" s="94"/>
      <c r="B363" s="36">
        <v>13306020330011</v>
      </c>
      <c r="C363" s="38" t="s">
        <v>863</v>
      </c>
      <c r="D363" s="37"/>
      <c r="E363" s="37"/>
      <c r="F363" s="37"/>
      <c r="G363" s="37"/>
      <c r="H363" s="38" t="s">
        <v>481</v>
      </c>
      <c r="I363" s="37"/>
      <c r="J363" s="33">
        <v>520</v>
      </c>
      <c r="K363" s="34" t="s">
        <v>40</v>
      </c>
    </row>
    <row r="364" ht="41" customHeight="1" spans="1:11">
      <c r="A364" s="86">
        <v>106</v>
      </c>
      <c r="B364" s="36">
        <v>13105010320000</v>
      </c>
      <c r="C364" s="38" t="s">
        <v>864</v>
      </c>
      <c r="D364" s="38" t="s">
        <v>865</v>
      </c>
      <c r="E364" s="38" t="s">
        <v>866</v>
      </c>
      <c r="F364" s="37"/>
      <c r="G364" s="37"/>
      <c r="H364" s="38" t="s">
        <v>35</v>
      </c>
      <c r="I364" s="38" t="s">
        <v>867</v>
      </c>
      <c r="J364" s="33">
        <v>200</v>
      </c>
      <c r="K364" s="34" t="s">
        <v>40</v>
      </c>
    </row>
    <row r="365" ht="41" customHeight="1" spans="1:11">
      <c r="A365" s="86">
        <v>107</v>
      </c>
      <c r="B365" s="36">
        <v>12406000060000</v>
      </c>
      <c r="C365" s="38" t="s">
        <v>868</v>
      </c>
      <c r="D365" s="38" t="s">
        <v>869</v>
      </c>
      <c r="E365" s="38" t="s">
        <v>870</v>
      </c>
      <c r="F365" s="37"/>
      <c r="G365" s="37"/>
      <c r="H365" s="38" t="s">
        <v>481</v>
      </c>
      <c r="I365" s="37"/>
      <c r="J365" s="33">
        <v>8</v>
      </c>
      <c r="K365" s="34" t="s">
        <v>40</v>
      </c>
    </row>
    <row r="366" ht="41" customHeight="1" spans="1:11">
      <c r="A366" s="86">
        <v>108</v>
      </c>
      <c r="B366" s="36">
        <v>12406000070000</v>
      </c>
      <c r="C366" s="38" t="s">
        <v>871</v>
      </c>
      <c r="D366" s="38" t="s">
        <v>872</v>
      </c>
      <c r="E366" s="38" t="s">
        <v>870</v>
      </c>
      <c r="F366" s="37"/>
      <c r="G366" s="37"/>
      <c r="H366" s="38" t="s">
        <v>35</v>
      </c>
      <c r="I366" s="37"/>
      <c r="J366" s="33">
        <v>27</v>
      </c>
      <c r="K366" s="34" t="s">
        <v>19</v>
      </c>
    </row>
    <row r="367" ht="41" customHeight="1" spans="1:11">
      <c r="A367" s="86">
        <v>109</v>
      </c>
      <c r="B367" s="36">
        <v>12406000080000</v>
      </c>
      <c r="C367" s="38" t="s">
        <v>873</v>
      </c>
      <c r="D367" s="38" t="s">
        <v>874</v>
      </c>
      <c r="E367" s="38" t="s">
        <v>875</v>
      </c>
      <c r="F367" s="37"/>
      <c r="G367" s="37"/>
      <c r="H367" s="38" t="s">
        <v>35</v>
      </c>
      <c r="I367" s="37"/>
      <c r="J367" s="33">
        <v>14</v>
      </c>
      <c r="K367" s="34" t="s">
        <v>40</v>
      </c>
    </row>
    <row r="368" ht="41" customHeight="1" spans="1:11">
      <c r="A368" s="86">
        <v>110</v>
      </c>
      <c r="B368" s="36">
        <v>12406000090000</v>
      </c>
      <c r="C368" s="38" t="s">
        <v>876</v>
      </c>
      <c r="D368" s="38" t="s">
        <v>877</v>
      </c>
      <c r="E368" s="38" t="s">
        <v>878</v>
      </c>
      <c r="F368" s="37"/>
      <c r="G368" s="37"/>
      <c r="H368" s="38" t="s">
        <v>35</v>
      </c>
      <c r="I368" s="37"/>
      <c r="J368" s="33">
        <v>15</v>
      </c>
      <c r="K368" s="34" t="s">
        <v>19</v>
      </c>
    </row>
    <row r="369" ht="41" customHeight="1" spans="1:11">
      <c r="A369" s="40">
        <v>111</v>
      </c>
      <c r="B369" s="36">
        <v>13105010340000</v>
      </c>
      <c r="C369" s="38" t="s">
        <v>879</v>
      </c>
      <c r="D369" s="38" t="s">
        <v>880</v>
      </c>
      <c r="E369" s="38" t="s">
        <v>881</v>
      </c>
      <c r="F369" s="37"/>
      <c r="G369" s="37"/>
      <c r="H369" s="38" t="s">
        <v>349</v>
      </c>
      <c r="I369" s="38" t="s">
        <v>882</v>
      </c>
      <c r="J369" s="33">
        <v>27</v>
      </c>
      <c r="K369" s="34" t="s">
        <v>19</v>
      </c>
    </row>
    <row r="370" ht="41" customHeight="1" spans="1:11">
      <c r="A370" s="35"/>
      <c r="B370" s="96">
        <v>373105010340001</v>
      </c>
      <c r="C370" s="38" t="s">
        <v>883</v>
      </c>
      <c r="D370" s="37"/>
      <c r="E370" s="37"/>
      <c r="F370" s="37"/>
      <c r="G370" s="37"/>
      <c r="H370" s="38" t="s">
        <v>349</v>
      </c>
      <c r="I370" s="37"/>
      <c r="J370" s="33">
        <f>27*0.15</f>
        <v>4.05</v>
      </c>
      <c r="K370" s="34" t="s">
        <v>19</v>
      </c>
    </row>
    <row r="371" ht="41" customHeight="1" spans="1:11">
      <c r="A371" s="40">
        <v>112</v>
      </c>
      <c r="B371" s="36">
        <v>13306020340000</v>
      </c>
      <c r="C371" s="38" t="s">
        <v>884</v>
      </c>
      <c r="D371" s="38" t="s">
        <v>885</v>
      </c>
      <c r="E371" s="38" t="s">
        <v>886</v>
      </c>
      <c r="F371" s="37"/>
      <c r="G371" s="37"/>
      <c r="H371" s="38" t="s">
        <v>349</v>
      </c>
      <c r="I371" s="38" t="s">
        <v>887</v>
      </c>
      <c r="J371" s="33">
        <v>720</v>
      </c>
      <c r="K371" s="34" t="s">
        <v>19</v>
      </c>
    </row>
    <row r="372" ht="41" customHeight="1" spans="1:11">
      <c r="A372" s="35"/>
      <c r="B372" s="36">
        <v>13306020340001</v>
      </c>
      <c r="C372" s="38" t="s">
        <v>888</v>
      </c>
      <c r="D372" s="37"/>
      <c r="E372" s="37"/>
      <c r="F372" s="37"/>
      <c r="G372" s="37"/>
      <c r="H372" s="38" t="s">
        <v>349</v>
      </c>
      <c r="I372" s="37"/>
      <c r="J372" s="33">
        <f>720*0.2</f>
        <v>144</v>
      </c>
      <c r="K372" s="34" t="s">
        <v>19</v>
      </c>
    </row>
    <row r="373" ht="41" customHeight="1" spans="1:11">
      <c r="A373" s="94"/>
      <c r="B373" s="96">
        <v>373306020340011</v>
      </c>
      <c r="C373" s="72" t="s">
        <v>889</v>
      </c>
      <c r="D373" s="37"/>
      <c r="E373" s="37"/>
      <c r="F373" s="37"/>
      <c r="G373" s="37"/>
      <c r="H373" s="72" t="s">
        <v>349</v>
      </c>
      <c r="I373" s="37"/>
      <c r="J373" s="73">
        <f>720*0.15</f>
        <v>108</v>
      </c>
      <c r="K373" s="34" t="s">
        <v>19</v>
      </c>
    </row>
    <row r="374" ht="41" customHeight="1" spans="1:11">
      <c r="A374" s="40">
        <v>113</v>
      </c>
      <c r="B374" s="36">
        <v>13306020350000</v>
      </c>
      <c r="C374" s="72" t="s">
        <v>890</v>
      </c>
      <c r="D374" s="72" t="s">
        <v>891</v>
      </c>
      <c r="E374" s="38" t="s">
        <v>892</v>
      </c>
      <c r="F374" s="37"/>
      <c r="G374" s="37"/>
      <c r="H374" s="72" t="s">
        <v>349</v>
      </c>
      <c r="I374" s="38" t="s">
        <v>893</v>
      </c>
      <c r="J374" s="33">
        <v>585</v>
      </c>
      <c r="K374" s="34" t="s">
        <v>19</v>
      </c>
    </row>
    <row r="375" ht="41" customHeight="1" spans="1:11">
      <c r="A375" s="29"/>
      <c r="B375" s="36">
        <v>13306020350001</v>
      </c>
      <c r="C375" s="38" t="s">
        <v>894</v>
      </c>
      <c r="D375" s="37"/>
      <c r="E375" s="37"/>
      <c r="F375" s="37"/>
      <c r="G375" s="37"/>
      <c r="H375" s="72" t="s">
        <v>349</v>
      </c>
      <c r="I375" s="72" t="s">
        <v>895</v>
      </c>
      <c r="J375" s="33">
        <f>585*0.2</f>
        <v>117</v>
      </c>
      <c r="K375" s="34" t="s">
        <v>19</v>
      </c>
    </row>
    <row r="376" ht="41" customHeight="1" spans="1:11">
      <c r="A376" s="35"/>
      <c r="B376" s="96">
        <v>373306020350011</v>
      </c>
      <c r="C376" s="110" t="s">
        <v>896</v>
      </c>
      <c r="D376" s="37"/>
      <c r="E376" s="37"/>
      <c r="F376" s="37"/>
      <c r="G376" s="37"/>
      <c r="H376" s="72" t="s">
        <v>349</v>
      </c>
      <c r="I376" s="37"/>
      <c r="J376" s="33">
        <f>585*0.15</f>
        <v>87.75</v>
      </c>
      <c r="K376" s="34" t="s">
        <v>19</v>
      </c>
    </row>
    <row r="377" ht="41" customHeight="1" spans="1:11">
      <c r="A377" s="86">
        <v>114</v>
      </c>
      <c r="B377" s="36">
        <v>13105010350000</v>
      </c>
      <c r="C377" s="38" t="s">
        <v>897</v>
      </c>
      <c r="D377" s="72" t="s">
        <v>898</v>
      </c>
      <c r="E377" s="38" t="s">
        <v>899</v>
      </c>
      <c r="F377" s="37"/>
      <c r="G377" s="37"/>
      <c r="H377" s="72" t="s">
        <v>632</v>
      </c>
      <c r="I377" s="38" t="s">
        <v>900</v>
      </c>
      <c r="J377" s="33">
        <v>50</v>
      </c>
      <c r="K377" s="34" t="s">
        <v>19</v>
      </c>
    </row>
    <row r="378" ht="41" customHeight="1" spans="1:11">
      <c r="A378" s="111">
        <v>1</v>
      </c>
      <c r="B378" s="112">
        <v>12100000010000</v>
      </c>
      <c r="C378" s="67" t="s">
        <v>901</v>
      </c>
      <c r="D378" s="67" t="s">
        <v>902</v>
      </c>
      <c r="E378" s="67" t="s">
        <v>903</v>
      </c>
      <c r="F378" s="67" t="s">
        <v>904</v>
      </c>
      <c r="G378" s="67" t="s">
        <v>905</v>
      </c>
      <c r="H378" s="67" t="s">
        <v>35</v>
      </c>
      <c r="I378" s="37" t="s">
        <v>906</v>
      </c>
      <c r="J378" s="113">
        <v>110</v>
      </c>
      <c r="K378" s="39" t="s">
        <v>19</v>
      </c>
    </row>
    <row r="379" ht="41" customHeight="1" spans="1:11">
      <c r="A379" s="114"/>
      <c r="B379" s="112">
        <v>12100000010001</v>
      </c>
      <c r="C379" s="37" t="s">
        <v>907</v>
      </c>
      <c r="D379" s="37"/>
      <c r="E379" s="37"/>
      <c r="F379" s="37"/>
      <c r="G379" s="37"/>
      <c r="H379" s="67" t="s">
        <v>35</v>
      </c>
      <c r="I379" s="37"/>
      <c r="J379" s="113">
        <v>55</v>
      </c>
      <c r="K379" s="39" t="s">
        <v>19</v>
      </c>
    </row>
    <row r="380" ht="41" customHeight="1" spans="1:11">
      <c r="A380" s="115"/>
      <c r="B380" s="112">
        <v>12100000010100</v>
      </c>
      <c r="C380" s="37" t="s">
        <v>908</v>
      </c>
      <c r="D380" s="37"/>
      <c r="E380" s="37"/>
      <c r="F380" s="37"/>
      <c r="G380" s="37"/>
      <c r="H380" s="67" t="s">
        <v>35</v>
      </c>
      <c r="I380" s="67" t="s">
        <v>909</v>
      </c>
      <c r="J380" s="113">
        <v>110</v>
      </c>
      <c r="K380" s="39" t="s">
        <v>19</v>
      </c>
    </row>
    <row r="381" ht="41" customHeight="1" spans="1:11">
      <c r="A381" s="111">
        <v>2</v>
      </c>
      <c r="B381" s="112">
        <v>12100000020000</v>
      </c>
      <c r="C381" s="37" t="s">
        <v>910</v>
      </c>
      <c r="D381" s="37" t="s">
        <v>911</v>
      </c>
      <c r="E381" s="67" t="s">
        <v>903</v>
      </c>
      <c r="F381" s="37"/>
      <c r="G381" s="67" t="s">
        <v>905</v>
      </c>
      <c r="H381" s="67" t="s">
        <v>35</v>
      </c>
      <c r="I381" s="37" t="s">
        <v>912</v>
      </c>
      <c r="J381" s="113">
        <v>110</v>
      </c>
      <c r="K381" s="39" t="s">
        <v>40</v>
      </c>
    </row>
    <row r="382" ht="41" customHeight="1" spans="1:11">
      <c r="A382" s="115"/>
      <c r="B382" s="112">
        <v>12100000020100</v>
      </c>
      <c r="C382" s="37" t="s">
        <v>913</v>
      </c>
      <c r="D382" s="37"/>
      <c r="E382" s="37"/>
      <c r="F382" s="37"/>
      <c r="G382" s="37"/>
      <c r="H382" s="67" t="s">
        <v>35</v>
      </c>
      <c r="I382" s="67" t="s">
        <v>909</v>
      </c>
      <c r="J382" s="113">
        <v>110</v>
      </c>
      <c r="K382" s="39" t="s">
        <v>40</v>
      </c>
    </row>
    <row r="383" ht="41" customHeight="1" spans="1:11">
      <c r="A383" s="116">
        <v>3</v>
      </c>
      <c r="B383" s="112">
        <v>11201000010000</v>
      </c>
      <c r="C383" s="37" t="s">
        <v>914</v>
      </c>
      <c r="D383" s="37" t="s">
        <v>915</v>
      </c>
      <c r="E383" s="37" t="s">
        <v>916</v>
      </c>
      <c r="F383" s="37"/>
      <c r="G383" s="37"/>
      <c r="H383" s="67" t="s">
        <v>35</v>
      </c>
      <c r="I383" s="37"/>
      <c r="J383" s="113">
        <v>67</v>
      </c>
      <c r="K383" s="39" t="s">
        <v>19</v>
      </c>
    </row>
    <row r="384" ht="41" customHeight="1" spans="1:11">
      <c r="A384" s="116">
        <v>4</v>
      </c>
      <c r="B384" s="112">
        <v>11201000020000</v>
      </c>
      <c r="C384" s="37" t="s">
        <v>917</v>
      </c>
      <c r="D384" s="67" t="s">
        <v>918</v>
      </c>
      <c r="E384" s="37" t="s">
        <v>919</v>
      </c>
      <c r="F384" s="37"/>
      <c r="G384" s="37"/>
      <c r="H384" s="67" t="s">
        <v>35</v>
      </c>
      <c r="I384" s="37"/>
      <c r="J384" s="113">
        <v>50</v>
      </c>
      <c r="K384" s="39" t="s">
        <v>19</v>
      </c>
    </row>
    <row r="385" ht="41" customHeight="1" spans="1:11">
      <c r="A385" s="116">
        <v>5</v>
      </c>
      <c r="B385" s="112">
        <v>11201000030000</v>
      </c>
      <c r="C385" s="37" t="s">
        <v>920</v>
      </c>
      <c r="D385" s="67" t="s">
        <v>918</v>
      </c>
      <c r="E385" s="37" t="s">
        <v>919</v>
      </c>
      <c r="F385" s="37"/>
      <c r="G385" s="37"/>
      <c r="H385" s="67" t="s">
        <v>35</v>
      </c>
      <c r="I385" s="67" t="s">
        <v>921</v>
      </c>
      <c r="J385" s="113">
        <v>72</v>
      </c>
      <c r="K385" s="39" t="s">
        <v>19</v>
      </c>
    </row>
    <row r="386" ht="41" customHeight="1" spans="1:11">
      <c r="A386" s="116">
        <v>6</v>
      </c>
      <c r="B386" s="112">
        <v>11201000040000</v>
      </c>
      <c r="C386" s="37" t="s">
        <v>922</v>
      </c>
      <c r="D386" s="67" t="s">
        <v>918</v>
      </c>
      <c r="E386" s="37" t="s">
        <v>919</v>
      </c>
      <c r="F386" s="37"/>
      <c r="G386" s="37"/>
      <c r="H386" s="67" t="s">
        <v>35</v>
      </c>
      <c r="I386" s="67" t="s">
        <v>923</v>
      </c>
      <c r="J386" s="113">
        <v>140</v>
      </c>
      <c r="K386" s="39" t="s">
        <v>19</v>
      </c>
    </row>
    <row r="387" ht="41" customHeight="1" spans="1:11">
      <c r="A387" s="116">
        <v>7</v>
      </c>
      <c r="B387" s="112">
        <v>11201000050000</v>
      </c>
      <c r="C387" s="37" t="s">
        <v>924</v>
      </c>
      <c r="D387" s="67" t="s">
        <v>918</v>
      </c>
      <c r="E387" s="37" t="s">
        <v>919</v>
      </c>
      <c r="F387" s="37"/>
      <c r="G387" s="37"/>
      <c r="H387" s="67" t="s">
        <v>35</v>
      </c>
      <c r="I387" s="67" t="s">
        <v>925</v>
      </c>
      <c r="J387" s="113">
        <v>145</v>
      </c>
      <c r="K387" s="39" t="s">
        <v>19</v>
      </c>
    </row>
    <row r="388" ht="41" customHeight="1" spans="1:11">
      <c r="A388" s="116">
        <v>8</v>
      </c>
      <c r="B388" s="112">
        <v>11201000060000</v>
      </c>
      <c r="C388" s="37" t="s">
        <v>926</v>
      </c>
      <c r="D388" s="67" t="s">
        <v>927</v>
      </c>
      <c r="E388" s="37" t="s">
        <v>928</v>
      </c>
      <c r="F388" s="37"/>
      <c r="G388" s="37"/>
      <c r="H388" s="67" t="s">
        <v>35</v>
      </c>
      <c r="I388" s="37"/>
      <c r="J388" s="113">
        <v>365</v>
      </c>
      <c r="K388" s="39" t="s">
        <v>19</v>
      </c>
    </row>
    <row r="389" ht="41" customHeight="1" spans="1:11">
      <c r="A389" s="116">
        <v>9</v>
      </c>
      <c r="B389" s="112">
        <v>11201000070000</v>
      </c>
      <c r="C389" s="37" t="s">
        <v>929</v>
      </c>
      <c r="D389" s="67" t="s">
        <v>930</v>
      </c>
      <c r="E389" s="37" t="s">
        <v>931</v>
      </c>
      <c r="F389" s="37"/>
      <c r="G389" s="37"/>
      <c r="H389" s="67" t="s">
        <v>35</v>
      </c>
      <c r="I389" s="37"/>
      <c r="J389" s="113">
        <v>360</v>
      </c>
      <c r="K389" s="39" t="s">
        <v>19</v>
      </c>
    </row>
    <row r="390" ht="41" customHeight="1" spans="1:11">
      <c r="A390" s="116">
        <v>10</v>
      </c>
      <c r="B390" s="112">
        <v>11201000080000</v>
      </c>
      <c r="C390" s="37" t="s">
        <v>932</v>
      </c>
      <c r="D390" s="67" t="s">
        <v>933</v>
      </c>
      <c r="E390" s="37" t="s">
        <v>934</v>
      </c>
      <c r="F390" s="37"/>
      <c r="G390" s="37"/>
      <c r="H390" s="67" t="s">
        <v>35</v>
      </c>
      <c r="I390" s="37"/>
      <c r="J390" s="113">
        <v>228</v>
      </c>
      <c r="K390" s="39" t="s">
        <v>19</v>
      </c>
    </row>
    <row r="391" ht="41" customHeight="1" spans="1:11">
      <c r="A391" s="111">
        <v>11</v>
      </c>
      <c r="B391" s="112">
        <v>12100000030000</v>
      </c>
      <c r="C391" s="67" t="s">
        <v>935</v>
      </c>
      <c r="D391" s="67" t="s">
        <v>936</v>
      </c>
      <c r="E391" s="37" t="s">
        <v>937</v>
      </c>
      <c r="F391" s="67" t="s">
        <v>938</v>
      </c>
      <c r="G391" s="37"/>
      <c r="H391" s="67" t="s">
        <v>939</v>
      </c>
      <c r="I391" s="37" t="s">
        <v>940</v>
      </c>
      <c r="J391" s="113">
        <v>35</v>
      </c>
      <c r="K391" s="39" t="s">
        <v>19</v>
      </c>
    </row>
    <row r="392" ht="41" customHeight="1" spans="1:11">
      <c r="A392" s="115"/>
      <c r="B392" s="112">
        <v>12100000030001</v>
      </c>
      <c r="C392" s="37" t="s">
        <v>941</v>
      </c>
      <c r="D392" s="37"/>
      <c r="E392" s="37"/>
      <c r="F392" s="37"/>
      <c r="G392" s="37"/>
      <c r="H392" s="67" t="s">
        <v>939</v>
      </c>
      <c r="I392" s="37"/>
      <c r="J392" s="113">
        <v>115</v>
      </c>
      <c r="K392" s="39" t="s">
        <v>19</v>
      </c>
    </row>
    <row r="393" ht="41" customHeight="1" spans="1:11">
      <c r="A393" s="116">
        <v>12</v>
      </c>
      <c r="B393" s="112">
        <v>12100000040000</v>
      </c>
      <c r="C393" s="67" t="s">
        <v>942</v>
      </c>
      <c r="D393" s="67" t="s">
        <v>943</v>
      </c>
      <c r="E393" s="37" t="s">
        <v>937</v>
      </c>
      <c r="F393" s="37"/>
      <c r="G393" s="37"/>
      <c r="H393" s="67" t="s">
        <v>939</v>
      </c>
      <c r="I393" s="37" t="s">
        <v>944</v>
      </c>
      <c r="J393" s="113">
        <v>70</v>
      </c>
      <c r="K393" s="39" t="s">
        <v>19</v>
      </c>
    </row>
    <row r="394" ht="41" customHeight="1" spans="1:11">
      <c r="A394" s="116">
        <v>13</v>
      </c>
      <c r="B394" s="112">
        <v>12100000050000</v>
      </c>
      <c r="C394" s="67" t="s">
        <v>945</v>
      </c>
      <c r="D394" s="67" t="s">
        <v>946</v>
      </c>
      <c r="E394" s="37" t="s">
        <v>947</v>
      </c>
      <c r="F394" s="37"/>
      <c r="G394" s="37"/>
      <c r="H394" s="67" t="s">
        <v>948</v>
      </c>
      <c r="I394" s="37"/>
      <c r="J394" s="113">
        <v>112</v>
      </c>
      <c r="K394" s="39" t="s">
        <v>19</v>
      </c>
    </row>
    <row r="395" ht="41" customHeight="1" spans="1:11">
      <c r="A395" s="116">
        <v>14</v>
      </c>
      <c r="B395" s="112">
        <v>12100000060000</v>
      </c>
      <c r="C395" s="67" t="s">
        <v>949</v>
      </c>
      <c r="D395" s="67" t="s">
        <v>950</v>
      </c>
      <c r="E395" s="37" t="s">
        <v>951</v>
      </c>
      <c r="F395" s="37"/>
      <c r="G395" s="37"/>
      <c r="H395" s="67" t="s">
        <v>35</v>
      </c>
      <c r="I395" s="67" t="s">
        <v>952</v>
      </c>
      <c r="J395" s="113">
        <v>100</v>
      </c>
      <c r="K395" s="39" t="s">
        <v>19</v>
      </c>
    </row>
    <row r="396" ht="41" customHeight="1" spans="1:11">
      <c r="A396" s="116">
        <v>15</v>
      </c>
      <c r="B396" s="112">
        <v>12100000070000</v>
      </c>
      <c r="C396" s="67" t="s">
        <v>953</v>
      </c>
      <c r="D396" s="67" t="s">
        <v>954</v>
      </c>
      <c r="E396" s="37" t="s">
        <v>955</v>
      </c>
      <c r="F396" s="37"/>
      <c r="G396" s="37"/>
      <c r="H396" s="67" t="s">
        <v>956</v>
      </c>
      <c r="I396" s="37"/>
      <c r="J396" s="113">
        <v>481</v>
      </c>
      <c r="K396" s="39" t="s">
        <v>19</v>
      </c>
    </row>
    <row r="397" ht="41" customHeight="1" spans="1:11">
      <c r="A397" s="116">
        <v>16</v>
      </c>
      <c r="B397" s="112">
        <v>12100000080000</v>
      </c>
      <c r="C397" s="67" t="s">
        <v>957</v>
      </c>
      <c r="D397" s="67" t="s">
        <v>958</v>
      </c>
      <c r="E397" s="37" t="s">
        <v>959</v>
      </c>
      <c r="F397" s="37"/>
      <c r="G397" s="37"/>
      <c r="H397" s="67" t="s">
        <v>960</v>
      </c>
      <c r="I397" s="37"/>
      <c r="J397" s="113">
        <v>76</v>
      </c>
      <c r="K397" s="39" t="s">
        <v>19</v>
      </c>
    </row>
    <row r="398" ht="41" customHeight="1" spans="1:11">
      <c r="A398" s="116">
        <v>17</v>
      </c>
      <c r="B398" s="112">
        <v>12100000090000</v>
      </c>
      <c r="C398" s="67" t="s">
        <v>961</v>
      </c>
      <c r="D398" s="67" t="s">
        <v>962</v>
      </c>
      <c r="E398" s="37" t="s">
        <v>963</v>
      </c>
      <c r="F398" s="37"/>
      <c r="G398" s="37"/>
      <c r="H398" s="67" t="s">
        <v>939</v>
      </c>
      <c r="I398" s="37"/>
      <c r="J398" s="113">
        <v>40</v>
      </c>
      <c r="K398" s="39" t="s">
        <v>19</v>
      </c>
    </row>
    <row r="399" ht="41" customHeight="1" spans="1:11">
      <c r="A399" s="116">
        <v>18</v>
      </c>
      <c r="B399" s="112">
        <v>12100000100000</v>
      </c>
      <c r="C399" s="67" t="s">
        <v>964</v>
      </c>
      <c r="D399" s="37" t="s">
        <v>965</v>
      </c>
      <c r="E399" s="67" t="s">
        <v>966</v>
      </c>
      <c r="F399" s="37"/>
      <c r="G399" s="37"/>
      <c r="H399" s="67" t="s">
        <v>956</v>
      </c>
      <c r="I399" s="37" t="s">
        <v>967</v>
      </c>
      <c r="J399" s="113">
        <v>37</v>
      </c>
      <c r="K399" s="39" t="s">
        <v>19</v>
      </c>
    </row>
    <row r="400" ht="41" customHeight="1" spans="1:11">
      <c r="A400" s="116">
        <v>19</v>
      </c>
      <c r="B400" s="112">
        <v>12100000110000</v>
      </c>
      <c r="C400" s="67" t="s">
        <v>968</v>
      </c>
      <c r="D400" s="37" t="s">
        <v>969</v>
      </c>
      <c r="E400" s="67" t="s">
        <v>970</v>
      </c>
      <c r="F400" s="37"/>
      <c r="G400" s="37"/>
      <c r="H400" s="67" t="s">
        <v>956</v>
      </c>
      <c r="I400" s="37" t="s">
        <v>971</v>
      </c>
      <c r="J400" s="113">
        <v>44</v>
      </c>
      <c r="K400" s="39" t="s">
        <v>19</v>
      </c>
    </row>
    <row r="401" ht="41" customHeight="1" spans="1:11">
      <c r="A401" s="116">
        <v>20</v>
      </c>
      <c r="B401" s="112">
        <v>12100000120000</v>
      </c>
      <c r="C401" s="67" t="s">
        <v>972</v>
      </c>
      <c r="D401" s="37" t="s">
        <v>973</v>
      </c>
      <c r="E401" s="37" t="s">
        <v>974</v>
      </c>
      <c r="F401" s="67" t="s">
        <v>975</v>
      </c>
      <c r="G401" s="37"/>
      <c r="H401" s="67" t="s">
        <v>956</v>
      </c>
      <c r="I401" s="37" t="s">
        <v>976</v>
      </c>
      <c r="J401" s="113">
        <v>160</v>
      </c>
      <c r="K401" s="39" t="s">
        <v>19</v>
      </c>
    </row>
    <row r="402" ht="41" customHeight="1" spans="1:11">
      <c r="A402" s="37"/>
      <c r="B402" s="112">
        <v>12100000120001</v>
      </c>
      <c r="C402" s="37" t="s">
        <v>977</v>
      </c>
      <c r="D402" s="37"/>
      <c r="E402" s="37"/>
      <c r="F402" s="37"/>
      <c r="G402" s="37"/>
      <c r="H402" s="67" t="s">
        <v>956</v>
      </c>
      <c r="I402" s="37"/>
      <c r="J402" s="113">
        <v>299</v>
      </c>
      <c r="K402" s="39" t="s">
        <v>19</v>
      </c>
    </row>
    <row r="403" ht="41" customHeight="1" spans="1:11">
      <c r="A403" s="116">
        <v>21</v>
      </c>
      <c r="B403" s="112">
        <v>12100000130000</v>
      </c>
      <c r="C403" s="67" t="s">
        <v>978</v>
      </c>
      <c r="D403" s="37" t="s">
        <v>979</v>
      </c>
      <c r="E403" s="67" t="s">
        <v>974</v>
      </c>
      <c r="F403" s="37"/>
      <c r="G403" s="37"/>
      <c r="H403" s="67" t="s">
        <v>956</v>
      </c>
      <c r="I403" s="37" t="s">
        <v>980</v>
      </c>
      <c r="J403" s="113">
        <v>995</v>
      </c>
      <c r="K403" s="39" t="s">
        <v>19</v>
      </c>
    </row>
    <row r="404" ht="41" customHeight="1" spans="1:11">
      <c r="A404" s="116">
        <v>22</v>
      </c>
      <c r="B404" s="112">
        <v>12100000140000</v>
      </c>
      <c r="C404" s="67" t="s">
        <v>981</v>
      </c>
      <c r="D404" s="67" t="s">
        <v>982</v>
      </c>
      <c r="E404" s="37" t="s">
        <v>983</v>
      </c>
      <c r="F404" s="37"/>
      <c r="G404" s="37"/>
      <c r="H404" s="67" t="s">
        <v>984</v>
      </c>
      <c r="I404" s="37" t="s">
        <v>985</v>
      </c>
      <c r="J404" s="113">
        <v>300</v>
      </c>
      <c r="K404" s="39" t="s">
        <v>19</v>
      </c>
    </row>
    <row r="405" ht="41" customHeight="1" spans="1:11">
      <c r="A405" s="116">
        <v>23</v>
      </c>
      <c r="B405" s="112">
        <v>12100000150000</v>
      </c>
      <c r="C405" s="67" t="s">
        <v>986</v>
      </c>
      <c r="D405" s="37" t="s">
        <v>987</v>
      </c>
      <c r="E405" s="67" t="s">
        <v>983</v>
      </c>
      <c r="F405" s="37"/>
      <c r="G405" s="37"/>
      <c r="H405" s="67" t="s">
        <v>984</v>
      </c>
      <c r="I405" s="37" t="s">
        <v>988</v>
      </c>
      <c r="J405" s="113">
        <v>797</v>
      </c>
      <c r="K405" s="39" t="s">
        <v>47</v>
      </c>
    </row>
    <row r="406" ht="41" customHeight="1" spans="1:11">
      <c r="A406" s="116">
        <v>24</v>
      </c>
      <c r="B406" s="112">
        <v>12100000160000</v>
      </c>
      <c r="C406" s="37" t="s">
        <v>989</v>
      </c>
      <c r="D406" s="67" t="s">
        <v>990</v>
      </c>
      <c r="E406" s="37" t="s">
        <v>991</v>
      </c>
      <c r="F406" s="37"/>
      <c r="G406" s="37"/>
      <c r="H406" s="67" t="s">
        <v>992</v>
      </c>
      <c r="I406" s="37" t="s">
        <v>993</v>
      </c>
      <c r="J406" s="113">
        <v>220</v>
      </c>
      <c r="K406" s="39" t="s">
        <v>40</v>
      </c>
    </row>
    <row r="407" ht="41" customHeight="1" spans="1:11">
      <c r="A407" s="114">
        <v>25</v>
      </c>
      <c r="B407" s="117">
        <v>12100000170000</v>
      </c>
      <c r="C407" s="118" t="s">
        <v>994</v>
      </c>
      <c r="D407" s="118" t="s">
        <v>995</v>
      </c>
      <c r="E407" s="119" t="s">
        <v>996</v>
      </c>
      <c r="F407" s="120"/>
      <c r="G407" s="120"/>
      <c r="H407" s="118" t="s">
        <v>992</v>
      </c>
      <c r="I407" s="45" t="s">
        <v>997</v>
      </c>
      <c r="J407" s="113">
        <v>330</v>
      </c>
      <c r="K407" s="39" t="s">
        <v>40</v>
      </c>
    </row>
    <row r="408" ht="41" customHeight="1" spans="1:11">
      <c r="A408" s="116">
        <v>26</v>
      </c>
      <c r="B408" s="112">
        <v>12100000180000</v>
      </c>
      <c r="C408" s="37" t="s">
        <v>998</v>
      </c>
      <c r="D408" s="67" t="s">
        <v>999</v>
      </c>
      <c r="E408" s="37" t="s">
        <v>1000</v>
      </c>
      <c r="F408" s="37"/>
      <c r="G408" s="37"/>
      <c r="H408" s="67" t="s">
        <v>1001</v>
      </c>
      <c r="I408" s="37" t="s">
        <v>1002</v>
      </c>
      <c r="J408" s="113">
        <v>360</v>
      </c>
      <c r="K408" s="39" t="s">
        <v>40</v>
      </c>
    </row>
    <row r="409" ht="41" customHeight="1" spans="1:11">
      <c r="A409" s="121">
        <v>27</v>
      </c>
      <c r="B409" s="122">
        <v>12100000190000</v>
      </c>
      <c r="C409" s="123" t="s">
        <v>1003</v>
      </c>
      <c r="D409" s="123" t="s">
        <v>1004</v>
      </c>
      <c r="E409" s="124" t="s">
        <v>1005</v>
      </c>
      <c r="F409" s="123"/>
      <c r="G409" s="123"/>
      <c r="H409" s="125" t="s">
        <v>1001</v>
      </c>
      <c r="I409" s="126" t="s">
        <v>1006</v>
      </c>
      <c r="J409" s="113">
        <v>440</v>
      </c>
      <c r="K409" s="39" t="s">
        <v>40</v>
      </c>
    </row>
    <row r="410" ht="41" customHeight="1" spans="1:11">
      <c r="A410" s="113">
        <v>28</v>
      </c>
      <c r="B410" s="127">
        <v>12100000200000</v>
      </c>
      <c r="C410" s="39" t="s">
        <v>1007</v>
      </c>
      <c r="D410" s="39" t="s">
        <v>1008</v>
      </c>
      <c r="E410" s="39" t="s">
        <v>1009</v>
      </c>
      <c r="F410" s="77"/>
      <c r="G410" s="77"/>
      <c r="H410" s="39" t="s">
        <v>1010</v>
      </c>
      <c r="I410" s="128" t="s">
        <v>1011</v>
      </c>
      <c r="J410" s="113">
        <v>1779</v>
      </c>
      <c r="K410" s="39" t="s">
        <v>40</v>
      </c>
    </row>
    <row r="411" ht="41" customHeight="1" spans="1:11">
      <c r="A411" s="116">
        <v>1</v>
      </c>
      <c r="B411" s="112">
        <v>17500000010000</v>
      </c>
      <c r="C411" s="67" t="s">
        <v>1012</v>
      </c>
      <c r="D411" s="67" t="s">
        <v>1013</v>
      </c>
      <c r="E411" s="67" t="s">
        <v>1014</v>
      </c>
      <c r="F411" s="37"/>
      <c r="G411" s="37"/>
      <c r="H411" s="67" t="s">
        <v>35</v>
      </c>
      <c r="I411" s="67" t="s">
        <v>1015</v>
      </c>
      <c r="J411" s="129">
        <v>287</v>
      </c>
      <c r="K411" s="39" t="s">
        <v>40</v>
      </c>
    </row>
    <row r="412" ht="41" customHeight="1" spans="1:11">
      <c r="A412" s="116">
        <v>2</v>
      </c>
      <c r="B412" s="112">
        <v>17500000020000</v>
      </c>
      <c r="C412" s="67" t="s">
        <v>1016</v>
      </c>
      <c r="D412" s="67" t="s">
        <v>1017</v>
      </c>
      <c r="E412" s="67" t="s">
        <v>1018</v>
      </c>
      <c r="F412" s="37"/>
      <c r="G412" s="37"/>
      <c r="H412" s="67" t="s">
        <v>1019</v>
      </c>
      <c r="I412" s="67" t="s">
        <v>1020</v>
      </c>
      <c r="J412" s="129">
        <v>493</v>
      </c>
      <c r="K412" s="39" t="s">
        <v>40</v>
      </c>
    </row>
    <row r="413" ht="41" customHeight="1" spans="1:11">
      <c r="A413" s="116">
        <v>3</v>
      </c>
      <c r="B413" s="112">
        <v>17500000030000</v>
      </c>
      <c r="C413" s="67" t="s">
        <v>1021</v>
      </c>
      <c r="D413" s="67" t="s">
        <v>1022</v>
      </c>
      <c r="E413" s="67" t="s">
        <v>1018</v>
      </c>
      <c r="F413" s="37"/>
      <c r="G413" s="37"/>
      <c r="H413" s="67" t="s">
        <v>1019</v>
      </c>
      <c r="I413" s="67" t="s">
        <v>1023</v>
      </c>
      <c r="J413" s="129">
        <v>1737</v>
      </c>
      <c r="K413" s="39" t="s">
        <v>40</v>
      </c>
    </row>
    <row r="414" ht="41" customHeight="1" spans="1:11">
      <c r="A414" s="116">
        <v>4</v>
      </c>
      <c r="B414" s="112">
        <v>17500000040000</v>
      </c>
      <c r="C414" s="67" t="s">
        <v>1024</v>
      </c>
      <c r="D414" s="67" t="s">
        <v>1025</v>
      </c>
      <c r="E414" s="67" t="s">
        <v>1026</v>
      </c>
      <c r="F414" s="37"/>
      <c r="G414" s="37"/>
      <c r="H414" s="67" t="s">
        <v>1019</v>
      </c>
      <c r="I414" s="67" t="s">
        <v>1027</v>
      </c>
      <c r="J414" s="129">
        <v>1600</v>
      </c>
      <c r="K414" s="39" t="s">
        <v>40</v>
      </c>
    </row>
    <row r="415" ht="41" customHeight="1" spans="1:11">
      <c r="A415" s="116">
        <v>5</v>
      </c>
      <c r="B415" s="112">
        <v>17500000050000</v>
      </c>
      <c r="C415" s="67" t="s">
        <v>1028</v>
      </c>
      <c r="D415" s="67" t="s">
        <v>1029</v>
      </c>
      <c r="E415" s="67" t="s">
        <v>1026</v>
      </c>
      <c r="F415" s="37"/>
      <c r="G415" s="37"/>
      <c r="H415" s="67" t="s">
        <v>1019</v>
      </c>
      <c r="I415" s="37"/>
      <c r="J415" s="129">
        <v>7023</v>
      </c>
      <c r="K415" s="39" t="s">
        <v>40</v>
      </c>
    </row>
    <row r="416" ht="41" customHeight="1" spans="1:11">
      <c r="A416" s="116">
        <v>7</v>
      </c>
      <c r="B416" s="112">
        <v>17300000010000</v>
      </c>
      <c r="C416" s="67" t="s">
        <v>1030</v>
      </c>
      <c r="D416" s="67" t="s">
        <v>1031</v>
      </c>
      <c r="E416" s="67" t="s">
        <v>1032</v>
      </c>
      <c r="F416" s="37"/>
      <c r="G416" s="37"/>
      <c r="H416" s="67" t="s">
        <v>35</v>
      </c>
      <c r="I416" s="37"/>
      <c r="J416" s="129">
        <v>365</v>
      </c>
      <c r="K416" s="39" t="s">
        <v>40</v>
      </c>
    </row>
    <row r="417" ht="41" customHeight="1" spans="1:11">
      <c r="A417" s="116">
        <v>8</v>
      </c>
      <c r="B417" s="112">
        <v>17300000020000</v>
      </c>
      <c r="C417" s="67" t="s">
        <v>1033</v>
      </c>
      <c r="D417" s="67" t="s">
        <v>1034</v>
      </c>
      <c r="E417" s="67" t="s">
        <v>1032</v>
      </c>
      <c r="F417" s="37"/>
      <c r="G417" s="37"/>
      <c r="H417" s="67" t="s">
        <v>35</v>
      </c>
      <c r="I417" s="37"/>
      <c r="J417" s="129">
        <v>365</v>
      </c>
      <c r="K417" s="39" t="s">
        <v>40</v>
      </c>
    </row>
    <row r="418" ht="41" customHeight="1" spans="1:11">
      <c r="A418" s="111">
        <v>9</v>
      </c>
      <c r="B418" s="112">
        <v>17100000010000</v>
      </c>
      <c r="C418" s="67" t="s">
        <v>1035</v>
      </c>
      <c r="D418" s="67" t="s">
        <v>1036</v>
      </c>
      <c r="E418" s="67" t="s">
        <v>1037</v>
      </c>
      <c r="F418" s="67" t="s">
        <v>1038</v>
      </c>
      <c r="G418" s="37"/>
      <c r="H418" s="67" t="s">
        <v>35</v>
      </c>
      <c r="I418" s="67" t="s">
        <v>1039</v>
      </c>
      <c r="J418" s="130">
        <v>0.15</v>
      </c>
      <c r="K418" s="39" t="s">
        <v>1040</v>
      </c>
    </row>
    <row r="419" ht="41" customHeight="1" spans="1:11">
      <c r="A419" s="115"/>
      <c r="B419" s="112">
        <v>17100000010001</v>
      </c>
      <c r="C419" s="67" t="s">
        <v>1041</v>
      </c>
      <c r="D419" s="37"/>
      <c r="E419" s="37"/>
      <c r="F419" s="37"/>
      <c r="G419" s="37"/>
      <c r="H419" s="67" t="s">
        <v>35</v>
      </c>
      <c r="I419" s="37"/>
      <c r="J419" s="129">
        <v>66</v>
      </c>
      <c r="K419" s="39" t="s">
        <v>1040</v>
      </c>
    </row>
    <row r="420" ht="41" customHeight="1" spans="1:11">
      <c r="A420" s="116">
        <v>10</v>
      </c>
      <c r="B420" s="112">
        <v>17100000020000</v>
      </c>
      <c r="C420" s="67" t="s">
        <v>1042</v>
      </c>
      <c r="D420" s="67" t="s">
        <v>1043</v>
      </c>
      <c r="E420" s="67" t="s">
        <v>1044</v>
      </c>
      <c r="F420" s="37"/>
      <c r="G420" s="37"/>
      <c r="H420" s="67" t="s">
        <v>35</v>
      </c>
      <c r="I420" s="37"/>
      <c r="J420" s="129">
        <v>689</v>
      </c>
      <c r="K420" s="39" t="s">
        <v>40</v>
      </c>
    </row>
    <row r="421" ht="41" customHeight="1" spans="1:11">
      <c r="A421" s="116">
        <v>11</v>
      </c>
      <c r="B421" s="112">
        <v>17400000020000</v>
      </c>
      <c r="C421" s="67" t="s">
        <v>1045</v>
      </c>
      <c r="D421" s="67" t="s">
        <v>1046</v>
      </c>
      <c r="E421" s="67" t="s">
        <v>1047</v>
      </c>
      <c r="F421" s="37"/>
      <c r="G421" s="37"/>
      <c r="H421" s="67" t="s">
        <v>35</v>
      </c>
      <c r="I421" s="67" t="s">
        <v>1048</v>
      </c>
      <c r="J421" s="129">
        <v>1500</v>
      </c>
      <c r="K421" s="39" t="s">
        <v>40</v>
      </c>
    </row>
    <row r="422" ht="41" customHeight="1" spans="1:11">
      <c r="A422" s="116">
        <v>12</v>
      </c>
      <c r="B422" s="112">
        <v>17100000030000</v>
      </c>
      <c r="C422" s="67" t="s">
        <v>1049</v>
      </c>
      <c r="D422" s="67" t="s">
        <v>1050</v>
      </c>
      <c r="E422" s="67" t="s">
        <v>1051</v>
      </c>
      <c r="F422" s="37"/>
      <c r="G422" s="37"/>
      <c r="H422" s="67" t="s">
        <v>35</v>
      </c>
      <c r="I422" s="67" t="s">
        <v>1052</v>
      </c>
      <c r="J422" s="129">
        <v>514</v>
      </c>
      <c r="K422" s="39" t="s">
        <v>40</v>
      </c>
    </row>
    <row r="423" ht="41" customHeight="1" spans="1:11">
      <c r="A423" s="116">
        <v>13</v>
      </c>
      <c r="B423" s="112">
        <v>17100000040000</v>
      </c>
      <c r="C423" s="67" t="s">
        <v>1053</v>
      </c>
      <c r="D423" s="67" t="s">
        <v>1054</v>
      </c>
      <c r="E423" s="67" t="s">
        <v>1055</v>
      </c>
      <c r="F423" s="37"/>
      <c r="G423" s="37"/>
      <c r="H423" s="67" t="s">
        <v>35</v>
      </c>
      <c r="I423" s="67" t="s">
        <v>1056</v>
      </c>
      <c r="J423" s="129">
        <v>1000</v>
      </c>
      <c r="K423" s="39" t="s">
        <v>40</v>
      </c>
    </row>
    <row r="424" ht="41" customHeight="1" spans="1:11">
      <c r="A424" s="111">
        <v>14</v>
      </c>
      <c r="B424" s="112">
        <v>17100000050000</v>
      </c>
      <c r="C424" s="67" t="s">
        <v>1057</v>
      </c>
      <c r="D424" s="67" t="s">
        <v>1058</v>
      </c>
      <c r="E424" s="67" t="s">
        <v>1059</v>
      </c>
      <c r="F424" s="67" t="s">
        <v>1060</v>
      </c>
      <c r="G424" s="37"/>
      <c r="H424" s="67" t="s">
        <v>35</v>
      </c>
      <c r="I424" s="67" t="s">
        <v>1061</v>
      </c>
      <c r="J424" s="129">
        <v>100</v>
      </c>
      <c r="K424" s="39" t="s">
        <v>40</v>
      </c>
    </row>
    <row r="425" ht="41" customHeight="1" spans="1:11">
      <c r="A425" s="115"/>
      <c r="B425" s="159" t="s">
        <v>1062</v>
      </c>
      <c r="C425" s="67" t="s">
        <v>1063</v>
      </c>
      <c r="D425" s="37"/>
      <c r="E425" s="37"/>
      <c r="F425" s="37"/>
      <c r="G425" s="37"/>
      <c r="H425" s="67" t="s">
        <v>35</v>
      </c>
      <c r="I425" s="37"/>
      <c r="J425" s="129">
        <v>900</v>
      </c>
      <c r="K425" s="39" t="s">
        <v>40</v>
      </c>
    </row>
    <row r="426" ht="41" customHeight="1" spans="1:11">
      <c r="A426" s="111">
        <v>15</v>
      </c>
      <c r="B426" s="112">
        <v>17100000060000</v>
      </c>
      <c r="C426" s="67" t="s">
        <v>1064</v>
      </c>
      <c r="D426" s="67" t="s">
        <v>1065</v>
      </c>
      <c r="E426" s="67" t="s">
        <v>1066</v>
      </c>
      <c r="F426" s="37"/>
      <c r="G426" s="67" t="s">
        <v>1067</v>
      </c>
      <c r="H426" s="67" t="s">
        <v>35</v>
      </c>
      <c r="I426" s="67" t="s">
        <v>1068</v>
      </c>
      <c r="J426" s="129">
        <v>335</v>
      </c>
      <c r="K426" s="39" t="s">
        <v>40</v>
      </c>
    </row>
    <row r="427" ht="41" customHeight="1" spans="1:11">
      <c r="A427" s="115"/>
      <c r="B427" s="112">
        <v>17100000060100</v>
      </c>
      <c r="C427" s="67" t="s">
        <v>1069</v>
      </c>
      <c r="D427" s="37"/>
      <c r="E427" s="37"/>
      <c r="F427" s="37"/>
      <c r="G427" s="37"/>
      <c r="H427" s="67" t="s">
        <v>35</v>
      </c>
      <c r="I427" s="37"/>
      <c r="J427" s="129">
        <v>335</v>
      </c>
      <c r="K427" s="39" t="s">
        <v>40</v>
      </c>
    </row>
    <row r="428" ht="41" customHeight="1" spans="1:11">
      <c r="A428" s="116">
        <v>16</v>
      </c>
      <c r="B428" s="112">
        <v>17100000070000</v>
      </c>
      <c r="C428" s="67" t="s">
        <v>1070</v>
      </c>
      <c r="D428" s="67" t="s">
        <v>1071</v>
      </c>
      <c r="E428" s="67" t="s">
        <v>1072</v>
      </c>
      <c r="F428" s="37"/>
      <c r="G428" s="37"/>
      <c r="H428" s="67" t="s">
        <v>35</v>
      </c>
      <c r="I428" s="67" t="s">
        <v>1073</v>
      </c>
      <c r="J428" s="129">
        <v>644</v>
      </c>
      <c r="K428" s="39" t="s">
        <v>40</v>
      </c>
    </row>
    <row r="429" ht="41" customHeight="1" spans="1:11">
      <c r="A429" s="116">
        <v>17</v>
      </c>
      <c r="B429" s="112">
        <v>17100000080000</v>
      </c>
      <c r="C429" s="67" t="s">
        <v>1074</v>
      </c>
      <c r="D429" s="67" t="s">
        <v>1075</v>
      </c>
      <c r="E429" s="67" t="s">
        <v>1076</v>
      </c>
      <c r="F429" s="37"/>
      <c r="G429" s="37"/>
      <c r="H429" s="67" t="s">
        <v>35</v>
      </c>
      <c r="I429" s="67" t="s">
        <v>1077</v>
      </c>
      <c r="J429" s="129">
        <v>525</v>
      </c>
      <c r="K429" s="39" t="s">
        <v>40</v>
      </c>
    </row>
    <row r="430" ht="41" customHeight="1" spans="1:11">
      <c r="A430" s="116">
        <v>18</v>
      </c>
      <c r="B430" s="112">
        <v>17100000090000</v>
      </c>
      <c r="C430" s="67" t="s">
        <v>1078</v>
      </c>
      <c r="D430" s="67" t="s">
        <v>1079</v>
      </c>
      <c r="E430" s="67" t="s">
        <v>1080</v>
      </c>
      <c r="F430" s="37"/>
      <c r="G430" s="37"/>
      <c r="H430" s="67" t="s">
        <v>35</v>
      </c>
      <c r="I430" s="67" t="s">
        <v>1081</v>
      </c>
      <c r="J430" s="129">
        <v>3146</v>
      </c>
      <c r="K430" s="39" t="s">
        <v>40</v>
      </c>
    </row>
    <row r="431" ht="41" customHeight="1" spans="1:11">
      <c r="A431" s="116">
        <v>19</v>
      </c>
      <c r="B431" s="112">
        <v>17100000100000</v>
      </c>
      <c r="C431" s="67" t="s">
        <v>1082</v>
      </c>
      <c r="D431" s="67" t="s">
        <v>1083</v>
      </c>
      <c r="E431" s="67" t="s">
        <v>1080</v>
      </c>
      <c r="F431" s="37"/>
      <c r="G431" s="37"/>
      <c r="H431" s="67" t="s">
        <v>35</v>
      </c>
      <c r="I431" s="67" t="s">
        <v>1081</v>
      </c>
      <c r="J431" s="129">
        <v>510</v>
      </c>
      <c r="K431" s="39" t="s">
        <v>40</v>
      </c>
    </row>
    <row r="432" ht="41" customHeight="1" spans="1:11">
      <c r="A432" s="116">
        <v>20</v>
      </c>
      <c r="B432" s="112">
        <v>17100000110000</v>
      </c>
      <c r="C432" s="67" t="s">
        <v>1084</v>
      </c>
      <c r="D432" s="67" t="s">
        <v>1085</v>
      </c>
      <c r="E432" s="67" t="s">
        <v>1086</v>
      </c>
      <c r="F432" s="37"/>
      <c r="G432" s="37"/>
      <c r="H432" s="67" t="s">
        <v>35</v>
      </c>
      <c r="I432" s="67" t="s">
        <v>1087</v>
      </c>
      <c r="J432" s="129">
        <v>102</v>
      </c>
      <c r="K432" s="39" t="s">
        <v>40</v>
      </c>
    </row>
    <row r="433" ht="41" customHeight="1" spans="1:11">
      <c r="A433" s="116">
        <v>21</v>
      </c>
      <c r="B433" s="112">
        <v>17100000120000</v>
      </c>
      <c r="C433" s="67" t="s">
        <v>1088</v>
      </c>
      <c r="D433" s="67" t="s">
        <v>1089</v>
      </c>
      <c r="E433" s="67" t="s">
        <v>1090</v>
      </c>
      <c r="F433" s="37"/>
      <c r="G433" s="37"/>
      <c r="H433" s="67" t="s">
        <v>35</v>
      </c>
      <c r="I433" s="67" t="s">
        <v>1091</v>
      </c>
      <c r="J433" s="129">
        <v>700</v>
      </c>
      <c r="K433" s="39" t="s">
        <v>40</v>
      </c>
    </row>
    <row r="434" ht="41" customHeight="1" spans="1:11">
      <c r="A434" s="116">
        <v>22</v>
      </c>
      <c r="B434" s="112">
        <v>17100000130000</v>
      </c>
      <c r="C434" s="67" t="s">
        <v>1092</v>
      </c>
      <c r="D434" s="67" t="s">
        <v>1093</v>
      </c>
      <c r="E434" s="67" t="s">
        <v>1094</v>
      </c>
      <c r="F434" s="37"/>
      <c r="G434" s="37"/>
      <c r="H434" s="67" t="s">
        <v>35</v>
      </c>
      <c r="I434" s="67" t="s">
        <v>1095</v>
      </c>
      <c r="J434" s="129">
        <v>50</v>
      </c>
      <c r="K434" s="39" t="s">
        <v>40</v>
      </c>
    </row>
    <row r="435" ht="41" customHeight="1" spans="1:11">
      <c r="A435" s="121">
        <v>23</v>
      </c>
      <c r="B435" s="122">
        <v>17200000010000</v>
      </c>
      <c r="C435" s="125" t="s">
        <v>1096</v>
      </c>
      <c r="D435" s="125" t="s">
        <v>1097</v>
      </c>
      <c r="E435" s="125" t="s">
        <v>1098</v>
      </c>
      <c r="F435" s="123"/>
      <c r="G435" s="123"/>
      <c r="H435" s="125" t="s">
        <v>35</v>
      </c>
      <c r="I435" s="131" t="s">
        <v>1099</v>
      </c>
      <c r="J435" s="129">
        <v>1000</v>
      </c>
      <c r="K435" s="39" t="s">
        <v>40</v>
      </c>
    </row>
    <row r="436" ht="41" customHeight="1" spans="1:11">
      <c r="A436" s="113">
        <v>24</v>
      </c>
      <c r="B436" s="127">
        <v>17200000020000</v>
      </c>
      <c r="C436" s="39" t="s">
        <v>1100</v>
      </c>
      <c r="D436" s="39" t="s">
        <v>1101</v>
      </c>
      <c r="E436" s="39" t="s">
        <v>1102</v>
      </c>
      <c r="F436" s="77"/>
      <c r="G436" s="77"/>
      <c r="H436" s="39" t="s">
        <v>35</v>
      </c>
      <c r="I436" s="132" t="s">
        <v>1103</v>
      </c>
      <c r="J436" s="87">
        <v>170</v>
      </c>
      <c r="K436" s="39" t="s">
        <v>40</v>
      </c>
    </row>
    <row r="437" ht="41" customHeight="1" spans="1:11">
      <c r="A437" s="133">
        <v>25</v>
      </c>
      <c r="B437" s="134">
        <v>17100000140000</v>
      </c>
      <c r="C437" s="135" t="s">
        <v>1104</v>
      </c>
      <c r="D437" s="135" t="s">
        <v>1105</v>
      </c>
      <c r="E437" s="135" t="s">
        <v>1098</v>
      </c>
      <c r="F437" s="82"/>
      <c r="G437" s="82"/>
      <c r="H437" s="135" t="s">
        <v>35</v>
      </c>
      <c r="I437" s="136" t="s">
        <v>1106</v>
      </c>
      <c r="J437" s="129">
        <v>500</v>
      </c>
      <c r="K437" s="39" t="s">
        <v>40</v>
      </c>
    </row>
    <row r="438" ht="41" customHeight="1" spans="1:11">
      <c r="A438" s="116">
        <v>26</v>
      </c>
      <c r="B438" s="112">
        <v>17300000030000</v>
      </c>
      <c r="C438" s="67" t="s">
        <v>1107</v>
      </c>
      <c r="D438" s="67" t="s">
        <v>1108</v>
      </c>
      <c r="E438" s="67" t="s">
        <v>1109</v>
      </c>
      <c r="F438" s="37"/>
      <c r="G438" s="37"/>
      <c r="H438" s="67" t="s">
        <v>1110</v>
      </c>
      <c r="I438" s="67" t="s">
        <v>1111</v>
      </c>
      <c r="J438" s="129">
        <v>70</v>
      </c>
      <c r="K438" s="39" t="s">
        <v>19</v>
      </c>
    </row>
    <row r="439" ht="41" customHeight="1" spans="1:11">
      <c r="A439" s="116">
        <v>27</v>
      </c>
      <c r="B439" s="112">
        <v>17300000040000</v>
      </c>
      <c r="C439" s="67" t="s">
        <v>1112</v>
      </c>
      <c r="D439" s="67" t="s">
        <v>1113</v>
      </c>
      <c r="E439" s="67" t="s">
        <v>1114</v>
      </c>
      <c r="F439" s="37"/>
      <c r="G439" s="37"/>
      <c r="H439" s="67" t="s">
        <v>1110</v>
      </c>
      <c r="I439" s="67" t="s">
        <v>1115</v>
      </c>
      <c r="J439" s="129">
        <v>225</v>
      </c>
      <c r="K439" s="39" t="s">
        <v>19</v>
      </c>
    </row>
    <row r="440" ht="41" customHeight="1" spans="1:11">
      <c r="A440" s="116">
        <v>28</v>
      </c>
      <c r="B440" s="112">
        <v>17300000050000</v>
      </c>
      <c r="C440" s="67" t="s">
        <v>1116</v>
      </c>
      <c r="D440" s="67" t="s">
        <v>1117</v>
      </c>
      <c r="E440" s="67" t="s">
        <v>1109</v>
      </c>
      <c r="F440" s="37"/>
      <c r="G440" s="37"/>
      <c r="H440" s="67" t="s">
        <v>1110</v>
      </c>
      <c r="I440" s="67" t="s">
        <v>1118</v>
      </c>
      <c r="J440" s="129">
        <v>350</v>
      </c>
      <c r="K440" s="39" t="s">
        <v>19</v>
      </c>
    </row>
    <row r="441" ht="41" customHeight="1" spans="1:11">
      <c r="A441" s="116">
        <v>29</v>
      </c>
      <c r="B441" s="112">
        <v>17300000060000</v>
      </c>
      <c r="C441" s="67" t="s">
        <v>1119</v>
      </c>
      <c r="D441" s="67" t="s">
        <v>1120</v>
      </c>
      <c r="E441" s="67" t="s">
        <v>1121</v>
      </c>
      <c r="F441" s="37"/>
      <c r="G441" s="37"/>
      <c r="H441" s="67" t="s">
        <v>1110</v>
      </c>
      <c r="I441" s="67" t="s">
        <v>1118</v>
      </c>
      <c r="J441" s="129">
        <v>350</v>
      </c>
      <c r="K441" s="39" t="s">
        <v>47</v>
      </c>
    </row>
    <row r="442" ht="41" customHeight="1" spans="1:11">
      <c r="A442" s="116">
        <v>30</v>
      </c>
      <c r="B442" s="112">
        <v>17300000070000</v>
      </c>
      <c r="C442" s="67" t="s">
        <v>1122</v>
      </c>
      <c r="D442" s="67" t="s">
        <v>1123</v>
      </c>
      <c r="E442" s="67" t="s">
        <v>1124</v>
      </c>
      <c r="F442" s="37"/>
      <c r="G442" s="37"/>
      <c r="H442" s="67" t="s">
        <v>1110</v>
      </c>
      <c r="I442" s="67" t="s">
        <v>1125</v>
      </c>
      <c r="J442" s="129">
        <v>288</v>
      </c>
      <c r="K442" s="39" t="s">
        <v>47</v>
      </c>
    </row>
    <row r="443" ht="41" customHeight="1" spans="1:11">
      <c r="A443" s="116">
        <v>31</v>
      </c>
      <c r="B443" s="112">
        <v>17300000080000</v>
      </c>
      <c r="C443" s="67" t="s">
        <v>1126</v>
      </c>
      <c r="D443" s="67" t="s">
        <v>1127</v>
      </c>
      <c r="E443" s="67" t="s">
        <v>1124</v>
      </c>
      <c r="F443" s="37"/>
      <c r="G443" s="37"/>
      <c r="H443" s="67" t="s">
        <v>1110</v>
      </c>
      <c r="I443" s="67" t="s">
        <v>1128</v>
      </c>
      <c r="J443" s="129">
        <v>500</v>
      </c>
      <c r="K443" s="39" t="s">
        <v>47</v>
      </c>
    </row>
    <row r="444" ht="41" customHeight="1" spans="1:11">
      <c r="A444" s="111">
        <v>32</v>
      </c>
      <c r="B444" s="112">
        <v>17300000090000</v>
      </c>
      <c r="C444" s="67" t="s">
        <v>1129</v>
      </c>
      <c r="D444" s="67" t="s">
        <v>1130</v>
      </c>
      <c r="E444" s="67" t="s">
        <v>1131</v>
      </c>
      <c r="F444" s="67" t="s">
        <v>1132</v>
      </c>
      <c r="G444" s="37"/>
      <c r="H444" s="67" t="s">
        <v>1133</v>
      </c>
      <c r="I444" s="67" t="s">
        <v>1134</v>
      </c>
      <c r="J444" s="129">
        <v>47</v>
      </c>
      <c r="K444" s="39" t="s">
        <v>19</v>
      </c>
    </row>
    <row r="445" ht="41" customHeight="1" spans="1:11">
      <c r="A445" s="114"/>
      <c r="B445" s="112">
        <v>17300000090001</v>
      </c>
      <c r="C445" s="67" t="s">
        <v>1135</v>
      </c>
      <c r="D445" s="37"/>
      <c r="E445" s="37"/>
      <c r="F445" s="37"/>
      <c r="G445" s="37"/>
      <c r="H445" s="67" t="s">
        <v>1133</v>
      </c>
      <c r="I445" s="67" t="s">
        <v>1136</v>
      </c>
      <c r="J445" s="129">
        <f>+J444*0.62</f>
        <v>29.14</v>
      </c>
      <c r="K445" s="39" t="s">
        <v>19</v>
      </c>
    </row>
    <row r="446" ht="41" customHeight="1" spans="1:11">
      <c r="A446" s="115"/>
      <c r="B446" s="112">
        <v>17300000090011</v>
      </c>
      <c r="C446" s="67" t="s">
        <v>1137</v>
      </c>
      <c r="D446" s="37"/>
      <c r="E446" s="37"/>
      <c r="F446" s="37"/>
      <c r="G446" s="37"/>
      <c r="H446" s="67" t="s">
        <v>1133</v>
      </c>
      <c r="I446" s="67" t="s">
        <v>1138</v>
      </c>
      <c r="J446" s="129">
        <f>+J444*(1-0.43)</f>
        <v>26.79</v>
      </c>
      <c r="K446" s="39" t="s">
        <v>19</v>
      </c>
    </row>
    <row r="447" ht="41" customHeight="1" spans="1:11">
      <c r="A447" s="111">
        <v>33</v>
      </c>
      <c r="B447" s="112">
        <v>17300000100000</v>
      </c>
      <c r="C447" s="67" t="s">
        <v>1139</v>
      </c>
      <c r="D447" s="67" t="s">
        <v>1140</v>
      </c>
      <c r="E447" s="67" t="s">
        <v>1131</v>
      </c>
      <c r="F447" s="67" t="s">
        <v>1132</v>
      </c>
      <c r="G447" s="37"/>
      <c r="H447" s="67" t="s">
        <v>1110</v>
      </c>
      <c r="I447" s="67" t="s">
        <v>1141</v>
      </c>
      <c r="J447" s="129">
        <v>260</v>
      </c>
      <c r="K447" s="39" t="s">
        <v>19</v>
      </c>
    </row>
    <row r="448" ht="41" customHeight="1" spans="1:11">
      <c r="A448" s="114"/>
      <c r="B448" s="112">
        <v>17300000100001</v>
      </c>
      <c r="C448" s="67" t="s">
        <v>1142</v>
      </c>
      <c r="D448" s="37"/>
      <c r="E448" s="37"/>
      <c r="F448" s="37"/>
      <c r="G448" s="37"/>
      <c r="H448" s="67" t="s">
        <v>1110</v>
      </c>
      <c r="I448" s="67" t="s">
        <v>1143</v>
      </c>
      <c r="J448" s="129">
        <v>260</v>
      </c>
      <c r="K448" s="39" t="s">
        <v>19</v>
      </c>
    </row>
    <row r="449" ht="41" customHeight="1" spans="1:11">
      <c r="A449" s="115"/>
      <c r="B449" s="112">
        <v>17300000100011</v>
      </c>
      <c r="C449" s="67" t="s">
        <v>1144</v>
      </c>
      <c r="D449" s="37"/>
      <c r="E449" s="37"/>
      <c r="F449" s="37"/>
      <c r="G449" s="37"/>
      <c r="H449" s="67" t="s">
        <v>1110</v>
      </c>
      <c r="I449" s="67" t="s">
        <v>1145</v>
      </c>
      <c r="J449" s="129">
        <f>+J448*(1-0.19)</f>
        <v>210.6</v>
      </c>
      <c r="K449" s="39" t="s">
        <v>19</v>
      </c>
    </row>
    <row r="450" ht="41" customHeight="1" spans="1:11">
      <c r="A450" s="137">
        <v>34</v>
      </c>
      <c r="B450" s="138">
        <v>17400000010000</v>
      </c>
      <c r="C450" s="139" t="s">
        <v>1146</v>
      </c>
      <c r="D450" s="139" t="s">
        <v>1147</v>
      </c>
      <c r="E450" s="139" t="s">
        <v>1148</v>
      </c>
      <c r="F450" s="140"/>
      <c r="G450" s="140"/>
      <c r="H450" s="139" t="s">
        <v>35</v>
      </c>
      <c r="I450" s="141" t="s">
        <v>1149</v>
      </c>
      <c r="J450" s="142" t="s">
        <v>1150</v>
      </c>
      <c r="K450" s="39" t="s">
        <v>40</v>
      </c>
    </row>
    <row r="451" ht="41" customHeight="1" spans="1:11">
      <c r="A451" s="137">
        <v>35</v>
      </c>
      <c r="B451" s="138">
        <v>17100000150000</v>
      </c>
      <c r="C451" s="139" t="s">
        <v>1151</v>
      </c>
      <c r="D451" s="139" t="s">
        <v>1152</v>
      </c>
      <c r="E451" s="139" t="s">
        <v>1153</v>
      </c>
      <c r="F451" s="140"/>
      <c r="G451" s="140"/>
      <c r="H451" s="139" t="s">
        <v>35</v>
      </c>
      <c r="I451" s="141" t="s">
        <v>1154</v>
      </c>
      <c r="J451" s="142" t="s">
        <v>1155</v>
      </c>
      <c r="K451" s="39" t="s">
        <v>40</v>
      </c>
    </row>
    <row r="452" ht="41" customHeight="1" spans="1:11">
      <c r="A452" s="143">
        <v>36</v>
      </c>
      <c r="B452" s="144">
        <v>17100000160000</v>
      </c>
      <c r="C452" s="145" t="s">
        <v>1156</v>
      </c>
      <c r="D452" s="145" t="s">
        <v>1157</v>
      </c>
      <c r="E452" s="145" t="s">
        <v>1158</v>
      </c>
      <c r="F452" s="146"/>
      <c r="G452" s="146"/>
      <c r="H452" s="145" t="s">
        <v>35</v>
      </c>
      <c r="I452" s="147" t="s">
        <v>1159</v>
      </c>
      <c r="J452" s="142" t="s">
        <v>1160</v>
      </c>
      <c r="K452" s="39" t="s">
        <v>40</v>
      </c>
    </row>
    <row r="453" ht="41" customHeight="1" spans="1:11">
      <c r="A453" s="113">
        <v>37</v>
      </c>
      <c r="B453" s="127">
        <v>17100000170000</v>
      </c>
      <c r="C453" s="39" t="s">
        <v>1161</v>
      </c>
      <c r="D453" s="39" t="s">
        <v>1162</v>
      </c>
      <c r="E453" s="39" t="s">
        <v>1158</v>
      </c>
      <c r="F453" s="77"/>
      <c r="G453" s="77"/>
      <c r="H453" s="39" t="s">
        <v>35</v>
      </c>
      <c r="I453" s="132" t="s">
        <v>1163</v>
      </c>
      <c r="J453" s="142" t="s">
        <v>1164</v>
      </c>
      <c r="K453" s="39" t="s">
        <v>40</v>
      </c>
    </row>
    <row r="454" ht="41" customHeight="1" spans="1:11">
      <c r="A454" s="111">
        <v>1</v>
      </c>
      <c r="B454" s="112">
        <v>12410000010000</v>
      </c>
      <c r="C454" s="67" t="s">
        <v>1165</v>
      </c>
      <c r="D454" s="67" t="s">
        <v>1166</v>
      </c>
      <c r="E454" s="67" t="s">
        <v>1167</v>
      </c>
      <c r="F454" s="67" t="s">
        <v>1168</v>
      </c>
      <c r="G454" s="37"/>
      <c r="H454" s="67" t="s">
        <v>35</v>
      </c>
      <c r="I454" s="67" t="s">
        <v>1169</v>
      </c>
      <c r="J454" s="129">
        <v>240</v>
      </c>
      <c r="K454" s="39" t="s">
        <v>47</v>
      </c>
    </row>
    <row r="455" ht="41" customHeight="1" spans="1:11">
      <c r="A455" s="115"/>
      <c r="B455" s="112">
        <v>12410000010001</v>
      </c>
      <c r="C455" s="67" t="s">
        <v>1170</v>
      </c>
      <c r="D455" s="37"/>
      <c r="E455" s="37"/>
      <c r="F455" s="37"/>
      <c r="G455" s="37"/>
      <c r="H455" s="67" t="s">
        <v>35</v>
      </c>
      <c r="I455" s="37"/>
      <c r="J455" s="129" t="e">
        <f>+J454*K455</f>
        <v>#VALUE!</v>
      </c>
      <c r="K455" s="39" t="s">
        <v>47</v>
      </c>
    </row>
    <row r="456" ht="41" customHeight="1" spans="1:11">
      <c r="A456" s="116">
        <v>2</v>
      </c>
      <c r="B456" s="112">
        <v>12410000020000</v>
      </c>
      <c r="C456" s="67" t="s">
        <v>1171</v>
      </c>
      <c r="D456" s="67" t="s">
        <v>1172</v>
      </c>
      <c r="E456" s="67" t="s">
        <v>1167</v>
      </c>
      <c r="F456" s="37"/>
      <c r="G456" s="37"/>
      <c r="H456" s="67" t="s">
        <v>789</v>
      </c>
      <c r="I456" s="67" t="s">
        <v>1173</v>
      </c>
      <c r="J456" s="129">
        <v>162</v>
      </c>
      <c r="K456" s="39" t="s">
        <v>19</v>
      </c>
    </row>
    <row r="457" ht="41" customHeight="1" spans="1:11">
      <c r="A457" s="116">
        <v>3</v>
      </c>
      <c r="B457" s="112">
        <v>12410000030000</v>
      </c>
      <c r="C457" s="67" t="s">
        <v>1174</v>
      </c>
      <c r="D457" s="67" t="s">
        <v>1175</v>
      </c>
      <c r="E457" s="67" t="s">
        <v>1176</v>
      </c>
      <c r="F457" s="37"/>
      <c r="G457" s="37"/>
      <c r="H457" s="67" t="s">
        <v>35</v>
      </c>
      <c r="I457" s="37"/>
      <c r="J457" s="129">
        <v>98</v>
      </c>
      <c r="K457" s="39" t="s">
        <v>19</v>
      </c>
    </row>
    <row r="458" ht="41" customHeight="1" spans="1:11">
      <c r="A458" s="116">
        <v>4</v>
      </c>
      <c r="B458" s="112">
        <v>12410000040000</v>
      </c>
      <c r="C458" s="67" t="s">
        <v>1177</v>
      </c>
      <c r="D458" s="67" t="s">
        <v>1178</v>
      </c>
      <c r="E458" s="67" t="s">
        <v>1179</v>
      </c>
      <c r="F458" s="37"/>
      <c r="G458" s="37"/>
      <c r="H458" s="67" t="s">
        <v>35</v>
      </c>
      <c r="I458" s="67" t="s">
        <v>1180</v>
      </c>
      <c r="J458" s="129">
        <v>240</v>
      </c>
      <c r="K458" s="39" t="s">
        <v>19</v>
      </c>
    </row>
    <row r="459" ht="41" customHeight="1" spans="1:11">
      <c r="A459" s="116">
        <v>5</v>
      </c>
      <c r="B459" s="112">
        <v>12410000050000</v>
      </c>
      <c r="C459" s="67" t="s">
        <v>1181</v>
      </c>
      <c r="D459" s="67" t="s">
        <v>1182</v>
      </c>
      <c r="E459" s="67" t="s">
        <v>1179</v>
      </c>
      <c r="F459" s="37"/>
      <c r="G459" s="37"/>
      <c r="H459" s="67" t="s">
        <v>35</v>
      </c>
      <c r="I459" s="67" t="s">
        <v>1183</v>
      </c>
      <c r="J459" s="129">
        <v>259</v>
      </c>
      <c r="K459" s="39" t="s">
        <v>40</v>
      </c>
    </row>
    <row r="460" ht="41" customHeight="1" spans="1:11">
      <c r="A460" s="116">
        <v>6</v>
      </c>
      <c r="B460" s="112">
        <v>12410000060000</v>
      </c>
      <c r="C460" s="67" t="s">
        <v>1184</v>
      </c>
      <c r="D460" s="67" t="s">
        <v>1185</v>
      </c>
      <c r="E460" s="67" t="s">
        <v>1186</v>
      </c>
      <c r="F460" s="37"/>
      <c r="G460" s="37"/>
      <c r="H460" s="67" t="s">
        <v>35</v>
      </c>
      <c r="I460" s="37"/>
      <c r="J460" s="129">
        <v>117</v>
      </c>
      <c r="K460" s="39" t="s">
        <v>19</v>
      </c>
    </row>
    <row r="461" ht="41" customHeight="1" spans="1:11">
      <c r="A461" s="116">
        <v>7</v>
      </c>
      <c r="B461" s="112">
        <v>12410000070000</v>
      </c>
      <c r="C461" s="67" t="s">
        <v>1187</v>
      </c>
      <c r="D461" s="67" t="s">
        <v>1188</v>
      </c>
      <c r="E461" s="67" t="s">
        <v>1189</v>
      </c>
      <c r="F461" s="37"/>
      <c r="G461" s="37"/>
      <c r="H461" s="67" t="s">
        <v>789</v>
      </c>
      <c r="I461" s="67" t="s">
        <v>1190</v>
      </c>
      <c r="J461" s="129">
        <v>130</v>
      </c>
      <c r="K461" s="39" t="s">
        <v>40</v>
      </c>
    </row>
    <row r="462" ht="41" customHeight="1" spans="1:11">
      <c r="A462" s="116">
        <v>8</v>
      </c>
      <c r="B462" s="112">
        <v>12410000080000</v>
      </c>
      <c r="C462" s="67" t="s">
        <v>1191</v>
      </c>
      <c r="D462" s="67" t="s">
        <v>1192</v>
      </c>
      <c r="E462" s="67" t="s">
        <v>1193</v>
      </c>
      <c r="F462" s="37"/>
      <c r="G462" s="37"/>
      <c r="H462" s="67" t="s">
        <v>35</v>
      </c>
      <c r="I462" s="37"/>
      <c r="J462" s="129">
        <v>293</v>
      </c>
      <c r="K462" s="39" t="s">
        <v>40</v>
      </c>
    </row>
    <row r="463" ht="41" customHeight="1" spans="1:11">
      <c r="A463" s="116">
        <v>9</v>
      </c>
      <c r="B463" s="112">
        <v>12410000090000</v>
      </c>
      <c r="C463" s="67" t="s">
        <v>1194</v>
      </c>
      <c r="D463" s="67" t="s">
        <v>1195</v>
      </c>
      <c r="E463" s="67" t="s">
        <v>1196</v>
      </c>
      <c r="F463" s="37"/>
      <c r="G463" s="37"/>
      <c r="H463" s="67" t="s">
        <v>35</v>
      </c>
      <c r="I463" s="67" t="s">
        <v>1197</v>
      </c>
      <c r="J463" s="129">
        <v>160</v>
      </c>
      <c r="K463" s="39" t="s">
        <v>40</v>
      </c>
    </row>
    <row r="464" ht="41" customHeight="1" spans="1:11">
      <c r="A464" s="116">
        <v>10</v>
      </c>
      <c r="B464" s="112">
        <v>13109000010000</v>
      </c>
      <c r="C464" s="67" t="s">
        <v>1198</v>
      </c>
      <c r="D464" s="67" t="s">
        <v>1199</v>
      </c>
      <c r="E464" s="67" t="s">
        <v>1200</v>
      </c>
      <c r="F464" s="37"/>
      <c r="G464" s="37"/>
      <c r="H464" s="67" t="s">
        <v>35</v>
      </c>
      <c r="I464" s="67" t="s">
        <v>1201</v>
      </c>
      <c r="J464" s="129">
        <v>1950</v>
      </c>
      <c r="K464" s="39" t="s">
        <v>40</v>
      </c>
    </row>
    <row r="465" ht="41" customHeight="1" spans="1:11">
      <c r="A465" s="111">
        <v>11</v>
      </c>
      <c r="B465" s="112">
        <v>13109000020000</v>
      </c>
      <c r="C465" s="67" t="s">
        <v>1202</v>
      </c>
      <c r="D465" s="67" t="s">
        <v>1203</v>
      </c>
      <c r="E465" s="67" t="s">
        <v>1204</v>
      </c>
      <c r="F465" s="37"/>
      <c r="G465" s="67" t="s">
        <v>1205</v>
      </c>
      <c r="H465" s="67" t="s">
        <v>35</v>
      </c>
      <c r="I465" s="37"/>
      <c r="J465" s="129">
        <v>439</v>
      </c>
      <c r="K465" s="39" t="s">
        <v>19</v>
      </c>
    </row>
    <row r="466" ht="41" customHeight="1" spans="1:11">
      <c r="A466" s="115"/>
      <c r="B466" s="112">
        <v>13109000020100</v>
      </c>
      <c r="C466" s="67" t="s">
        <v>1206</v>
      </c>
      <c r="D466" s="37"/>
      <c r="E466" s="37"/>
      <c r="F466" s="37"/>
      <c r="G466" s="37"/>
      <c r="H466" s="67" t="s">
        <v>35</v>
      </c>
      <c r="I466" s="37"/>
      <c r="J466" s="129">
        <v>439</v>
      </c>
      <c r="K466" s="39" t="s">
        <v>40</v>
      </c>
    </row>
    <row r="467" ht="41" customHeight="1" spans="1:11">
      <c r="A467" s="111">
        <v>12</v>
      </c>
      <c r="B467" s="112">
        <v>13109000030000</v>
      </c>
      <c r="C467" s="67" t="s">
        <v>1207</v>
      </c>
      <c r="D467" s="67" t="s">
        <v>1208</v>
      </c>
      <c r="E467" s="67" t="s">
        <v>1209</v>
      </c>
      <c r="F467" s="37"/>
      <c r="G467" s="67" t="s">
        <v>1210</v>
      </c>
      <c r="H467" s="67" t="s">
        <v>35</v>
      </c>
      <c r="I467" s="37"/>
      <c r="J467" s="129">
        <v>80</v>
      </c>
      <c r="K467" s="39" t="s">
        <v>19</v>
      </c>
    </row>
    <row r="468" ht="41" customHeight="1" spans="1:11">
      <c r="A468" s="115"/>
      <c r="B468" s="112">
        <v>13109000030100</v>
      </c>
      <c r="C468" s="67" t="s">
        <v>1211</v>
      </c>
      <c r="D468" s="37"/>
      <c r="E468" s="37"/>
      <c r="F468" s="37"/>
      <c r="G468" s="37"/>
      <c r="H468" s="67" t="s">
        <v>35</v>
      </c>
      <c r="I468" s="37"/>
      <c r="J468" s="129">
        <v>80</v>
      </c>
      <c r="K468" s="39" t="s">
        <v>40</v>
      </c>
    </row>
    <row r="469" ht="41" customHeight="1" spans="1:11">
      <c r="A469" s="116">
        <v>13</v>
      </c>
      <c r="B469" s="112">
        <v>12410000100000</v>
      </c>
      <c r="C469" s="67" t="s">
        <v>1212</v>
      </c>
      <c r="D469" s="67" t="s">
        <v>1213</v>
      </c>
      <c r="E469" s="67" t="s">
        <v>1214</v>
      </c>
      <c r="F469" s="37"/>
      <c r="G469" s="37"/>
      <c r="H469" s="67" t="s">
        <v>35</v>
      </c>
      <c r="I469" s="37"/>
      <c r="J469" s="129">
        <v>883</v>
      </c>
      <c r="K469" s="39" t="s">
        <v>40</v>
      </c>
    </row>
    <row r="470" ht="41" customHeight="1" spans="1:11">
      <c r="A470" s="116">
        <v>14</v>
      </c>
      <c r="B470" s="112">
        <v>12410000110000</v>
      </c>
      <c r="C470" s="67" t="s">
        <v>1215</v>
      </c>
      <c r="D470" s="67" t="s">
        <v>1216</v>
      </c>
      <c r="E470" s="67" t="s">
        <v>1217</v>
      </c>
      <c r="F470" s="37"/>
      <c r="G470" s="37"/>
      <c r="H470" s="67" t="s">
        <v>35</v>
      </c>
      <c r="I470" s="37"/>
      <c r="J470" s="129">
        <v>1103</v>
      </c>
      <c r="K470" s="39" t="s">
        <v>40</v>
      </c>
    </row>
    <row r="471" ht="41" customHeight="1" spans="1:11">
      <c r="A471" s="111">
        <v>15</v>
      </c>
      <c r="B471" s="112">
        <v>12410000120000</v>
      </c>
      <c r="C471" s="67" t="s">
        <v>1218</v>
      </c>
      <c r="D471" s="67" t="s">
        <v>1219</v>
      </c>
      <c r="E471" s="67" t="s">
        <v>1220</v>
      </c>
      <c r="F471" s="67" t="s">
        <v>1221</v>
      </c>
      <c r="G471" s="37"/>
      <c r="H471" s="67" t="s">
        <v>35</v>
      </c>
      <c r="I471" s="67" t="s">
        <v>1222</v>
      </c>
      <c r="J471" s="129">
        <v>207</v>
      </c>
      <c r="K471" s="39" t="s">
        <v>19</v>
      </c>
    </row>
    <row r="472" ht="41" customHeight="1" spans="1:11">
      <c r="A472" s="114"/>
      <c r="B472" s="112">
        <v>12410000120001</v>
      </c>
      <c r="C472" s="67" t="s">
        <v>1223</v>
      </c>
      <c r="D472" s="37"/>
      <c r="E472" s="37"/>
      <c r="F472" s="37"/>
      <c r="G472" s="37"/>
      <c r="H472" s="67" t="s">
        <v>35</v>
      </c>
      <c r="I472" s="37"/>
      <c r="J472" s="129">
        <v>1336</v>
      </c>
      <c r="K472" s="39" t="s">
        <v>19</v>
      </c>
    </row>
    <row r="473" ht="41" customHeight="1" spans="1:11">
      <c r="A473" s="114"/>
      <c r="B473" s="112">
        <v>12410000120002</v>
      </c>
      <c r="C473" s="67" t="s">
        <v>1224</v>
      </c>
      <c r="D473" s="37"/>
      <c r="E473" s="37"/>
      <c r="F473" s="37"/>
      <c r="G473" s="37"/>
      <c r="H473" s="67" t="s">
        <v>35</v>
      </c>
      <c r="I473" s="37"/>
      <c r="J473" s="129">
        <v>2744</v>
      </c>
      <c r="K473" s="39" t="s">
        <v>19</v>
      </c>
    </row>
    <row r="474" ht="41" customHeight="1" spans="1:11">
      <c r="A474" s="114"/>
      <c r="B474" s="112">
        <v>12410000120003</v>
      </c>
      <c r="C474" s="67" t="s">
        <v>1225</v>
      </c>
      <c r="D474" s="37"/>
      <c r="E474" s="37"/>
      <c r="F474" s="37"/>
      <c r="G474" s="37"/>
      <c r="H474" s="67" t="s">
        <v>35</v>
      </c>
      <c r="I474" s="37"/>
      <c r="J474" s="129">
        <v>144</v>
      </c>
      <c r="K474" s="39" t="s">
        <v>19</v>
      </c>
    </row>
    <row r="475" ht="41" customHeight="1" spans="1:11">
      <c r="A475" s="114"/>
      <c r="B475" s="112">
        <v>12410000120004</v>
      </c>
      <c r="C475" s="67" t="s">
        <v>1226</v>
      </c>
      <c r="D475" s="37"/>
      <c r="E475" s="37"/>
      <c r="F475" s="37"/>
      <c r="G475" s="37"/>
      <c r="H475" s="67" t="s">
        <v>35</v>
      </c>
      <c r="I475" s="37"/>
      <c r="J475" s="129">
        <v>1343</v>
      </c>
      <c r="K475" s="39" t="s">
        <v>19</v>
      </c>
    </row>
    <row r="476" ht="41" customHeight="1" spans="1:11">
      <c r="A476" s="115"/>
      <c r="B476" s="112">
        <v>12410000120011</v>
      </c>
      <c r="C476" s="67" t="s">
        <v>1227</v>
      </c>
      <c r="D476" s="37"/>
      <c r="E476" s="37"/>
      <c r="F476" s="37"/>
      <c r="G476" s="37"/>
      <c r="H476" s="67" t="s">
        <v>35</v>
      </c>
      <c r="I476" s="37"/>
      <c r="J476" s="129">
        <v>158</v>
      </c>
      <c r="K476" s="39" t="s">
        <v>19</v>
      </c>
    </row>
    <row r="477" ht="41" customHeight="1" spans="1:11">
      <c r="A477" s="111">
        <v>16</v>
      </c>
      <c r="B477" s="112">
        <v>12410000130000</v>
      </c>
      <c r="C477" s="67" t="s">
        <v>1228</v>
      </c>
      <c r="D477" s="67" t="s">
        <v>1229</v>
      </c>
      <c r="E477" s="67" t="s">
        <v>1220</v>
      </c>
      <c r="F477" s="67" t="s">
        <v>1230</v>
      </c>
      <c r="G477" s="37"/>
      <c r="H477" s="67" t="s">
        <v>35</v>
      </c>
      <c r="I477" s="67" t="s">
        <v>1231</v>
      </c>
      <c r="J477" s="129">
        <v>369</v>
      </c>
      <c r="K477" s="39" t="s">
        <v>19</v>
      </c>
    </row>
    <row r="478" ht="41" customHeight="1" spans="1:11">
      <c r="A478" s="114"/>
      <c r="B478" s="112">
        <v>12410000130001</v>
      </c>
      <c r="C478" s="67" t="s">
        <v>1232</v>
      </c>
      <c r="D478" s="37"/>
      <c r="E478" s="37"/>
      <c r="F478" s="37"/>
      <c r="G478" s="37"/>
      <c r="H478" s="67" t="s">
        <v>35</v>
      </c>
      <c r="I478" s="37"/>
      <c r="J478" s="129">
        <v>1336</v>
      </c>
      <c r="K478" s="39" t="s">
        <v>19</v>
      </c>
    </row>
    <row r="479" ht="41" customHeight="1" spans="1:11">
      <c r="A479" s="114"/>
      <c r="B479" s="112">
        <v>12410000130002</v>
      </c>
      <c r="C479" s="67" t="s">
        <v>1233</v>
      </c>
      <c r="D479" s="37"/>
      <c r="E479" s="37"/>
      <c r="F479" s="37"/>
      <c r="G479" s="37"/>
      <c r="H479" s="67" t="s">
        <v>35</v>
      </c>
      <c r="I479" s="37"/>
      <c r="J479" s="129">
        <v>2744</v>
      </c>
      <c r="K479" s="39" t="s">
        <v>19</v>
      </c>
    </row>
    <row r="480" ht="41" customHeight="1" spans="1:11">
      <c r="A480" s="115"/>
      <c r="B480" s="112">
        <v>12410000130011</v>
      </c>
      <c r="C480" s="67" t="s">
        <v>1234</v>
      </c>
      <c r="D480" s="37"/>
      <c r="E480" s="37"/>
      <c r="F480" s="37"/>
      <c r="G480" s="37"/>
      <c r="H480" s="67" t="s">
        <v>35</v>
      </c>
      <c r="I480" s="37"/>
      <c r="J480" s="129">
        <v>158</v>
      </c>
      <c r="K480" s="39" t="s">
        <v>19</v>
      </c>
    </row>
    <row r="481" ht="41" customHeight="1" spans="1:11">
      <c r="A481" s="111">
        <v>17</v>
      </c>
      <c r="B481" s="112">
        <v>12410000140000</v>
      </c>
      <c r="C481" s="67" t="s">
        <v>1235</v>
      </c>
      <c r="D481" s="67" t="s">
        <v>1236</v>
      </c>
      <c r="E481" s="67" t="s">
        <v>1220</v>
      </c>
      <c r="F481" s="67" t="s">
        <v>1237</v>
      </c>
      <c r="G481" s="37"/>
      <c r="H481" s="67" t="s">
        <v>35</v>
      </c>
      <c r="I481" s="67" t="s">
        <v>1238</v>
      </c>
      <c r="J481" s="129">
        <v>634</v>
      </c>
      <c r="K481" s="39" t="s">
        <v>47</v>
      </c>
    </row>
    <row r="482" ht="41" customHeight="1" spans="1:11">
      <c r="A482" s="115"/>
      <c r="B482" s="112">
        <v>12410000140001</v>
      </c>
      <c r="C482" s="67" t="s">
        <v>1239</v>
      </c>
      <c r="D482" s="37"/>
      <c r="E482" s="37"/>
      <c r="F482" s="37"/>
      <c r="G482" s="37"/>
      <c r="H482" s="67" t="s">
        <v>35</v>
      </c>
      <c r="I482" s="37"/>
      <c r="J482" s="129">
        <v>291</v>
      </c>
      <c r="K482" s="39" t="s">
        <v>47</v>
      </c>
    </row>
    <row r="483" ht="41" customHeight="1" spans="1:11">
      <c r="A483" s="116">
        <v>18</v>
      </c>
      <c r="B483" s="112">
        <v>12410000150000</v>
      </c>
      <c r="C483" s="67" t="s">
        <v>1240</v>
      </c>
      <c r="D483" s="67" t="s">
        <v>1236</v>
      </c>
      <c r="E483" s="67" t="s">
        <v>1220</v>
      </c>
      <c r="F483" s="37"/>
      <c r="G483" s="37"/>
      <c r="H483" s="67" t="s">
        <v>35</v>
      </c>
      <c r="I483" s="67" t="s">
        <v>1238</v>
      </c>
      <c r="J483" s="129">
        <v>600</v>
      </c>
      <c r="K483" s="39" t="s">
        <v>19</v>
      </c>
    </row>
    <row r="484" ht="41" customHeight="1" spans="1:11">
      <c r="A484" s="116">
        <v>19</v>
      </c>
      <c r="B484" s="112">
        <v>12410000160000</v>
      </c>
      <c r="C484" s="67" t="s">
        <v>1241</v>
      </c>
      <c r="D484" s="67" t="s">
        <v>1242</v>
      </c>
      <c r="E484" s="67" t="s">
        <v>1243</v>
      </c>
      <c r="F484" s="37"/>
      <c r="G484" s="37"/>
      <c r="H484" s="67" t="s">
        <v>35</v>
      </c>
      <c r="I484" s="67" t="s">
        <v>1244</v>
      </c>
      <c r="J484" s="129">
        <v>920</v>
      </c>
      <c r="K484" s="39" t="s">
        <v>40</v>
      </c>
    </row>
    <row r="485" ht="41" customHeight="1" spans="1:11">
      <c r="A485" s="116">
        <v>20</v>
      </c>
      <c r="B485" s="112">
        <v>12410000170000</v>
      </c>
      <c r="C485" s="67" t="s">
        <v>1245</v>
      </c>
      <c r="D485" s="67" t="s">
        <v>1246</v>
      </c>
      <c r="E485" s="67" t="s">
        <v>1243</v>
      </c>
      <c r="F485" s="37"/>
      <c r="G485" s="37"/>
      <c r="H485" s="67" t="s">
        <v>35</v>
      </c>
      <c r="I485" s="67" t="s">
        <v>1238</v>
      </c>
      <c r="J485" s="129">
        <v>920</v>
      </c>
      <c r="K485" s="39" t="s">
        <v>40</v>
      </c>
    </row>
    <row r="486" ht="41" customHeight="1" spans="1:11">
      <c r="A486" s="116">
        <v>21</v>
      </c>
      <c r="B486" s="112">
        <v>12301010050000</v>
      </c>
      <c r="C486" s="67" t="s">
        <v>1247</v>
      </c>
      <c r="D486" s="67" t="s">
        <v>1248</v>
      </c>
      <c r="E486" s="67" t="s">
        <v>1249</v>
      </c>
      <c r="F486" s="37"/>
      <c r="G486" s="37"/>
      <c r="H486" s="67" t="s">
        <v>35</v>
      </c>
      <c r="I486" s="37"/>
      <c r="J486" s="129">
        <v>193</v>
      </c>
      <c r="K486" s="39" t="s">
        <v>47</v>
      </c>
    </row>
    <row r="487" ht="41" customHeight="1" spans="1:11">
      <c r="A487" s="116">
        <v>22</v>
      </c>
      <c r="B487" s="112">
        <v>12301010060000</v>
      </c>
      <c r="C487" s="67" t="s">
        <v>1250</v>
      </c>
      <c r="D487" s="67" t="s">
        <v>1251</v>
      </c>
      <c r="E487" s="67" t="s">
        <v>1252</v>
      </c>
      <c r="F487" s="37"/>
      <c r="G487" s="37"/>
      <c r="H487" s="67" t="s">
        <v>35</v>
      </c>
      <c r="I487" s="37"/>
      <c r="J487" s="129">
        <v>290</v>
      </c>
      <c r="K487" s="39" t="s">
        <v>47</v>
      </c>
    </row>
    <row r="488" ht="41" customHeight="1" spans="1:11">
      <c r="A488" s="111">
        <v>23</v>
      </c>
      <c r="B488" s="112">
        <v>13109000040000</v>
      </c>
      <c r="C488" s="67" t="s">
        <v>1253</v>
      </c>
      <c r="D488" s="67" t="s">
        <v>1254</v>
      </c>
      <c r="E488" s="67" t="s">
        <v>1255</v>
      </c>
      <c r="F488" s="37"/>
      <c r="G488" s="67" t="s">
        <v>1256</v>
      </c>
      <c r="H488" s="67" t="s">
        <v>35</v>
      </c>
      <c r="I488" s="37"/>
      <c r="J488" s="129">
        <v>350</v>
      </c>
      <c r="K488" s="39" t="s">
        <v>47</v>
      </c>
    </row>
    <row r="489" ht="41" customHeight="1" spans="1:11">
      <c r="A489" s="115"/>
      <c r="B489" s="112">
        <v>13109000040100</v>
      </c>
      <c r="C489" s="67" t="s">
        <v>1257</v>
      </c>
      <c r="D489" s="37"/>
      <c r="E489" s="37"/>
      <c r="F489" s="37"/>
      <c r="G489" s="37"/>
      <c r="H489" s="67" t="s">
        <v>35</v>
      </c>
      <c r="I489" s="37"/>
      <c r="J489" s="129">
        <v>350</v>
      </c>
      <c r="K489" s="39" t="s">
        <v>47</v>
      </c>
    </row>
    <row r="490" ht="41" customHeight="1" spans="1:11">
      <c r="A490" s="111">
        <v>24</v>
      </c>
      <c r="B490" s="112">
        <v>13109000050000</v>
      </c>
      <c r="C490" s="67" t="s">
        <v>1258</v>
      </c>
      <c r="D490" s="67" t="s">
        <v>1259</v>
      </c>
      <c r="E490" s="67" t="s">
        <v>1255</v>
      </c>
      <c r="F490" s="37"/>
      <c r="G490" s="67" t="s">
        <v>1260</v>
      </c>
      <c r="H490" s="67" t="s">
        <v>35</v>
      </c>
      <c r="I490" s="37"/>
      <c r="J490" s="129">
        <v>593</v>
      </c>
      <c r="K490" s="39" t="s">
        <v>47</v>
      </c>
    </row>
    <row r="491" ht="41" customHeight="1" spans="1:11">
      <c r="A491" s="115"/>
      <c r="B491" s="112">
        <v>13109000050100</v>
      </c>
      <c r="C491" s="67" t="s">
        <v>1261</v>
      </c>
      <c r="D491" s="37"/>
      <c r="E491" s="37"/>
      <c r="F491" s="37"/>
      <c r="G491" s="37"/>
      <c r="H491" s="67" t="s">
        <v>35</v>
      </c>
      <c r="I491" s="37"/>
      <c r="J491" s="129">
        <v>593</v>
      </c>
      <c r="K491" s="39" t="s">
        <v>47</v>
      </c>
    </row>
    <row r="492" ht="41" customHeight="1" spans="1:11">
      <c r="A492" s="111">
        <v>25</v>
      </c>
      <c r="B492" s="112">
        <v>13310000010000</v>
      </c>
      <c r="C492" s="67" t="s">
        <v>1262</v>
      </c>
      <c r="D492" s="67" t="s">
        <v>1263</v>
      </c>
      <c r="E492" s="67" t="s">
        <v>1264</v>
      </c>
      <c r="F492" s="67" t="s">
        <v>1265</v>
      </c>
      <c r="G492" s="67" t="s">
        <v>1266</v>
      </c>
      <c r="H492" s="67" t="s">
        <v>35</v>
      </c>
      <c r="I492" s="37"/>
      <c r="J492" s="129">
        <v>700</v>
      </c>
      <c r="K492" s="39" t="s">
        <v>47</v>
      </c>
    </row>
    <row r="493" ht="41" customHeight="1" spans="1:11">
      <c r="A493" s="114"/>
      <c r="B493" s="112">
        <v>13310000010011</v>
      </c>
      <c r="C493" s="67" t="s">
        <v>1267</v>
      </c>
      <c r="D493" s="37"/>
      <c r="E493" s="37"/>
      <c r="F493" s="37"/>
      <c r="G493" s="37"/>
      <c r="H493" s="67" t="s">
        <v>35</v>
      </c>
      <c r="I493" s="37"/>
      <c r="J493" s="129" t="e">
        <f>+J492*K493</f>
        <v>#VALUE!</v>
      </c>
      <c r="K493" s="39" t="s">
        <v>47</v>
      </c>
    </row>
    <row r="494" ht="41" customHeight="1" spans="1:11">
      <c r="A494" s="114"/>
      <c r="B494" s="112">
        <v>13310000010001</v>
      </c>
      <c r="C494" s="67" t="s">
        <v>1268</v>
      </c>
      <c r="D494" s="37"/>
      <c r="E494" s="37"/>
      <c r="F494" s="37"/>
      <c r="G494" s="37"/>
      <c r="H494" s="67" t="s">
        <v>35</v>
      </c>
      <c r="I494" s="37"/>
      <c r="J494" s="129" t="e">
        <f>+J492*K494</f>
        <v>#VALUE!</v>
      </c>
      <c r="K494" s="39" t="s">
        <v>47</v>
      </c>
    </row>
    <row r="495" ht="41" customHeight="1" spans="1:11">
      <c r="A495" s="115"/>
      <c r="B495" s="112">
        <v>13310000010100</v>
      </c>
      <c r="C495" s="67" t="s">
        <v>1269</v>
      </c>
      <c r="D495" s="37"/>
      <c r="E495" s="37"/>
      <c r="F495" s="37"/>
      <c r="G495" s="37"/>
      <c r="H495" s="67" t="s">
        <v>35</v>
      </c>
      <c r="I495" s="37"/>
      <c r="J495" s="129">
        <v>700</v>
      </c>
      <c r="K495" s="39" t="s">
        <v>47</v>
      </c>
    </row>
    <row r="496" ht="41" customHeight="1" spans="1:11">
      <c r="A496" s="111">
        <v>26</v>
      </c>
      <c r="B496" s="112">
        <v>13310000020000</v>
      </c>
      <c r="C496" s="67" t="s">
        <v>1270</v>
      </c>
      <c r="D496" s="67" t="s">
        <v>1271</v>
      </c>
      <c r="E496" s="67" t="s">
        <v>1264</v>
      </c>
      <c r="F496" s="67" t="s">
        <v>1265</v>
      </c>
      <c r="G496" s="67" t="s">
        <v>1272</v>
      </c>
      <c r="H496" s="67" t="s">
        <v>35</v>
      </c>
      <c r="I496" s="37"/>
      <c r="J496" s="129">
        <v>1128</v>
      </c>
      <c r="K496" s="39" t="s">
        <v>47</v>
      </c>
    </row>
    <row r="497" ht="41" customHeight="1" spans="1:11">
      <c r="A497" s="114"/>
      <c r="B497" s="112">
        <v>13310000020001</v>
      </c>
      <c r="C497" s="67" t="s">
        <v>1273</v>
      </c>
      <c r="D497" s="37"/>
      <c r="E497" s="37"/>
      <c r="F497" s="37"/>
      <c r="G497" s="37"/>
      <c r="H497" s="67" t="s">
        <v>35</v>
      </c>
      <c r="I497" s="37"/>
      <c r="J497" s="129" t="e">
        <f>+J496*K497</f>
        <v>#VALUE!</v>
      </c>
      <c r="K497" s="39" t="s">
        <v>47</v>
      </c>
    </row>
    <row r="498" ht="41" customHeight="1" spans="1:11">
      <c r="A498" s="114"/>
      <c r="B498" s="112">
        <v>13310000020011</v>
      </c>
      <c r="C498" s="67" t="s">
        <v>1274</v>
      </c>
      <c r="D498" s="37"/>
      <c r="E498" s="37"/>
      <c r="F498" s="37"/>
      <c r="G498" s="37"/>
      <c r="H498" s="67" t="s">
        <v>35</v>
      </c>
      <c r="I498" s="37"/>
      <c r="J498" s="129">
        <f>+J496*0.15</f>
        <v>169.2</v>
      </c>
      <c r="K498" s="39" t="s">
        <v>47</v>
      </c>
    </row>
    <row r="499" ht="41" customHeight="1" spans="1:11">
      <c r="A499" s="115"/>
      <c r="B499" s="112">
        <v>13310000020100</v>
      </c>
      <c r="C499" s="67" t="s">
        <v>1275</v>
      </c>
      <c r="D499" s="37"/>
      <c r="E499" s="37"/>
      <c r="F499" s="37"/>
      <c r="G499" s="37"/>
      <c r="H499" s="67" t="s">
        <v>35</v>
      </c>
      <c r="I499" s="37"/>
      <c r="J499" s="129">
        <v>1128</v>
      </c>
      <c r="K499" s="39" t="s">
        <v>47</v>
      </c>
    </row>
    <row r="500" ht="41" customHeight="1" spans="1:11">
      <c r="A500" s="116">
        <v>27</v>
      </c>
      <c r="B500" s="112">
        <v>13109000060000</v>
      </c>
      <c r="C500" s="67" t="s">
        <v>1276</v>
      </c>
      <c r="D500" s="67" t="s">
        <v>1277</v>
      </c>
      <c r="E500" s="67" t="s">
        <v>1278</v>
      </c>
      <c r="F500" s="37"/>
      <c r="G500" s="37"/>
      <c r="H500" s="67" t="s">
        <v>35</v>
      </c>
      <c r="I500" s="67" t="s">
        <v>1279</v>
      </c>
      <c r="J500" s="129">
        <v>323</v>
      </c>
      <c r="K500" s="39" t="s">
        <v>19</v>
      </c>
    </row>
    <row r="501" ht="41" customHeight="1" spans="1:11">
      <c r="A501" s="116">
        <v>28</v>
      </c>
      <c r="B501" s="112">
        <v>13109000070000</v>
      </c>
      <c r="C501" s="67" t="s">
        <v>1280</v>
      </c>
      <c r="D501" s="67" t="s">
        <v>1281</v>
      </c>
      <c r="E501" s="67" t="s">
        <v>1282</v>
      </c>
      <c r="F501" s="37"/>
      <c r="G501" s="37"/>
      <c r="H501" s="67" t="s">
        <v>35</v>
      </c>
      <c r="I501" s="67" t="s">
        <v>1283</v>
      </c>
      <c r="J501" s="129">
        <v>420</v>
      </c>
      <c r="K501" s="39" t="s">
        <v>47</v>
      </c>
    </row>
    <row r="502" ht="41" customHeight="1" spans="1:11">
      <c r="A502" s="116">
        <v>29</v>
      </c>
      <c r="B502" s="112">
        <v>13109000080000</v>
      </c>
      <c r="C502" s="67" t="s">
        <v>1284</v>
      </c>
      <c r="D502" s="67" t="s">
        <v>1285</v>
      </c>
      <c r="E502" s="67" t="s">
        <v>1286</v>
      </c>
      <c r="F502" s="37"/>
      <c r="G502" s="37"/>
      <c r="H502" s="67" t="s">
        <v>35</v>
      </c>
      <c r="I502" s="67" t="s">
        <v>1287</v>
      </c>
      <c r="J502" s="129">
        <v>483</v>
      </c>
      <c r="K502" s="39" t="s">
        <v>47</v>
      </c>
    </row>
    <row r="503" ht="41" customHeight="1" spans="1:11">
      <c r="A503" s="116">
        <v>30</v>
      </c>
      <c r="B503" s="112">
        <v>13109000090000</v>
      </c>
      <c r="C503" s="67" t="s">
        <v>1288</v>
      </c>
      <c r="D503" s="67" t="s">
        <v>1289</v>
      </c>
      <c r="E503" s="67" t="s">
        <v>1290</v>
      </c>
      <c r="F503" s="37"/>
      <c r="G503" s="37"/>
      <c r="H503" s="67" t="s">
        <v>35</v>
      </c>
      <c r="I503" s="67" t="s">
        <v>1291</v>
      </c>
      <c r="J503" s="129">
        <v>598</v>
      </c>
      <c r="K503" s="39" t="s">
        <v>47</v>
      </c>
    </row>
    <row r="504" ht="41" customHeight="1" spans="1:11">
      <c r="A504" s="111">
        <v>31</v>
      </c>
      <c r="B504" s="112">
        <v>13310000030000</v>
      </c>
      <c r="C504" s="67" t="s">
        <v>1292</v>
      </c>
      <c r="D504" s="67" t="s">
        <v>1293</v>
      </c>
      <c r="E504" s="67" t="s">
        <v>1294</v>
      </c>
      <c r="F504" s="37"/>
      <c r="G504" s="37"/>
      <c r="H504" s="67" t="s">
        <v>35</v>
      </c>
      <c r="I504" s="67" t="s">
        <v>1295</v>
      </c>
      <c r="J504" s="129">
        <v>1297</v>
      </c>
      <c r="K504" s="39" t="s">
        <v>47</v>
      </c>
    </row>
    <row r="505" ht="41" customHeight="1" spans="1:11">
      <c r="A505" s="115"/>
      <c r="B505" s="112">
        <v>13310000030001</v>
      </c>
      <c r="C505" s="67" t="s">
        <v>1296</v>
      </c>
      <c r="D505" s="37"/>
      <c r="E505" s="37"/>
      <c r="F505" s="37"/>
      <c r="G505" s="37"/>
      <c r="H505" s="67" t="s">
        <v>35</v>
      </c>
      <c r="I505" s="37"/>
      <c r="J505" s="129">
        <f t="shared" ref="J505:J509" si="7">+J504*0.2</f>
        <v>259.4</v>
      </c>
      <c r="K505" s="39" t="s">
        <v>47</v>
      </c>
    </row>
    <row r="506" ht="41" customHeight="1" spans="1:11">
      <c r="A506" s="111">
        <v>32</v>
      </c>
      <c r="B506" s="112">
        <v>13310000040000</v>
      </c>
      <c r="C506" s="67" t="s">
        <v>1297</v>
      </c>
      <c r="D506" s="67" t="s">
        <v>1298</v>
      </c>
      <c r="E506" s="67" t="s">
        <v>1299</v>
      </c>
      <c r="F506" s="37"/>
      <c r="G506" s="37"/>
      <c r="H506" s="67" t="s">
        <v>1300</v>
      </c>
      <c r="I506" s="67" t="s">
        <v>1301</v>
      </c>
      <c r="J506" s="129">
        <v>518</v>
      </c>
      <c r="K506" s="39" t="s">
        <v>47</v>
      </c>
    </row>
    <row r="507" ht="41" customHeight="1" spans="1:11">
      <c r="A507" s="115"/>
      <c r="B507" s="112">
        <v>13310000040001</v>
      </c>
      <c r="C507" s="67" t="s">
        <v>1302</v>
      </c>
      <c r="D507" s="37"/>
      <c r="E507" s="37"/>
      <c r="F507" s="37"/>
      <c r="G507" s="37"/>
      <c r="H507" s="67" t="s">
        <v>1300</v>
      </c>
      <c r="I507" s="37"/>
      <c r="J507" s="129">
        <f t="shared" si="7"/>
        <v>103.6</v>
      </c>
      <c r="K507" s="39" t="s">
        <v>47</v>
      </c>
    </row>
    <row r="508" ht="41" customHeight="1" spans="1:11">
      <c r="A508" s="111">
        <v>33</v>
      </c>
      <c r="B508" s="112">
        <v>13310000050000</v>
      </c>
      <c r="C508" s="67" t="s">
        <v>1303</v>
      </c>
      <c r="D508" s="67" t="s">
        <v>1304</v>
      </c>
      <c r="E508" s="67" t="s">
        <v>1305</v>
      </c>
      <c r="F508" s="67" t="s">
        <v>1306</v>
      </c>
      <c r="G508" s="37"/>
      <c r="H508" s="67" t="s">
        <v>1300</v>
      </c>
      <c r="I508" s="67" t="s">
        <v>1307</v>
      </c>
      <c r="J508" s="129">
        <v>1893</v>
      </c>
      <c r="K508" s="39" t="s">
        <v>47</v>
      </c>
    </row>
    <row r="509" ht="41" customHeight="1" spans="1:11">
      <c r="A509" s="114"/>
      <c r="B509" s="112">
        <v>13310000050001</v>
      </c>
      <c r="C509" s="67" t="s">
        <v>1308</v>
      </c>
      <c r="D509" s="37"/>
      <c r="E509" s="37"/>
      <c r="F509" s="37"/>
      <c r="G509" s="37"/>
      <c r="H509" s="67" t="s">
        <v>1300</v>
      </c>
      <c r="I509" s="37"/>
      <c r="J509" s="129">
        <f t="shared" si="7"/>
        <v>378.6</v>
      </c>
      <c r="K509" s="39" t="s">
        <v>47</v>
      </c>
    </row>
    <row r="510" ht="41" customHeight="1" spans="1:11">
      <c r="A510" s="115"/>
      <c r="B510" s="112">
        <v>13310000050011</v>
      </c>
      <c r="C510" s="67" t="s">
        <v>1309</v>
      </c>
      <c r="D510" s="37"/>
      <c r="E510" s="37"/>
      <c r="F510" s="37"/>
      <c r="G510" s="37"/>
      <c r="H510" s="67" t="s">
        <v>1300</v>
      </c>
      <c r="I510" s="37"/>
      <c r="J510" s="129">
        <f>+J508*0.52</f>
        <v>984.36</v>
      </c>
      <c r="K510" s="39" t="s">
        <v>47</v>
      </c>
    </row>
    <row r="511" ht="41" customHeight="1" spans="1:11">
      <c r="A511" s="111">
        <v>34</v>
      </c>
      <c r="B511" s="112">
        <v>13310000060000</v>
      </c>
      <c r="C511" s="67" t="s">
        <v>1310</v>
      </c>
      <c r="D511" s="67" t="s">
        <v>1311</v>
      </c>
      <c r="E511" s="67" t="s">
        <v>1312</v>
      </c>
      <c r="F511" s="37"/>
      <c r="G511" s="37"/>
      <c r="H511" s="67" t="s">
        <v>35</v>
      </c>
      <c r="I511" s="37"/>
      <c r="J511" s="129">
        <v>1430</v>
      </c>
      <c r="K511" s="39" t="s">
        <v>40</v>
      </c>
    </row>
    <row r="512" ht="41" customHeight="1" spans="1:11">
      <c r="A512" s="115"/>
      <c r="B512" s="112">
        <v>13310000060001</v>
      </c>
      <c r="C512" s="67" t="s">
        <v>1313</v>
      </c>
      <c r="D512" s="37"/>
      <c r="E512" s="37"/>
      <c r="F512" s="37"/>
      <c r="G512" s="37"/>
      <c r="H512" s="67" t="s">
        <v>35</v>
      </c>
      <c r="I512" s="37"/>
      <c r="J512" s="129">
        <f t="shared" ref="J512:J517" si="8">+J511*0.2</f>
        <v>286</v>
      </c>
      <c r="K512" s="39" t="s">
        <v>40</v>
      </c>
    </row>
    <row r="513" ht="41" customHeight="1" spans="1:11">
      <c r="A513" s="111">
        <v>35</v>
      </c>
      <c r="B513" s="112">
        <v>13310000070000</v>
      </c>
      <c r="C513" s="67" t="s">
        <v>1314</v>
      </c>
      <c r="D513" s="67" t="s">
        <v>1315</v>
      </c>
      <c r="E513" s="67" t="s">
        <v>1316</v>
      </c>
      <c r="F513" s="67" t="s">
        <v>1317</v>
      </c>
      <c r="G513" s="37"/>
      <c r="H513" s="67" t="s">
        <v>45</v>
      </c>
      <c r="I513" s="67" t="s">
        <v>1318</v>
      </c>
      <c r="J513" s="129">
        <v>298</v>
      </c>
      <c r="K513" s="39" t="s">
        <v>19</v>
      </c>
    </row>
    <row r="514" ht="41" customHeight="1" spans="1:11">
      <c r="A514" s="114"/>
      <c r="B514" s="112">
        <v>13310000070001</v>
      </c>
      <c r="C514" s="67" t="s">
        <v>1319</v>
      </c>
      <c r="D514" s="37"/>
      <c r="E514" s="37"/>
      <c r="F514" s="37"/>
      <c r="G514" s="37"/>
      <c r="H514" s="67" t="s">
        <v>45</v>
      </c>
      <c r="I514" s="37"/>
      <c r="J514" s="129">
        <f t="shared" si="8"/>
        <v>59.6</v>
      </c>
      <c r="K514" s="39" t="s">
        <v>19</v>
      </c>
    </row>
    <row r="515" ht="41" customHeight="1" spans="1:11">
      <c r="A515" s="115"/>
      <c r="B515" s="112">
        <v>13310000070011</v>
      </c>
      <c r="C515" s="67" t="s">
        <v>1320</v>
      </c>
      <c r="D515" s="37"/>
      <c r="E515" s="37"/>
      <c r="F515" s="37"/>
      <c r="G515" s="37"/>
      <c r="H515" s="67" t="s">
        <v>45</v>
      </c>
      <c r="I515" s="37"/>
      <c r="J515" s="129">
        <f>+J513*0.5</f>
        <v>149</v>
      </c>
      <c r="K515" s="39" t="s">
        <v>19</v>
      </c>
    </row>
    <row r="516" ht="41" customHeight="1" spans="1:11">
      <c r="A516" s="111">
        <v>36</v>
      </c>
      <c r="B516" s="112">
        <v>13310000080000</v>
      </c>
      <c r="C516" s="67" t="s">
        <v>1321</v>
      </c>
      <c r="D516" s="67" t="s">
        <v>1322</v>
      </c>
      <c r="E516" s="67" t="s">
        <v>1323</v>
      </c>
      <c r="F516" s="67" t="s">
        <v>1324</v>
      </c>
      <c r="G516" s="37"/>
      <c r="H516" s="67" t="s">
        <v>45</v>
      </c>
      <c r="I516" s="67" t="s">
        <v>1318</v>
      </c>
      <c r="J516" s="129">
        <v>535</v>
      </c>
      <c r="K516" s="39" t="s">
        <v>19</v>
      </c>
    </row>
    <row r="517" ht="41" customHeight="1" spans="1:11">
      <c r="A517" s="114"/>
      <c r="B517" s="112">
        <v>13310000080001</v>
      </c>
      <c r="C517" s="67" t="s">
        <v>1325</v>
      </c>
      <c r="D517" s="37"/>
      <c r="E517" s="37"/>
      <c r="F517" s="37"/>
      <c r="G517" s="37"/>
      <c r="H517" s="67" t="s">
        <v>45</v>
      </c>
      <c r="I517" s="37"/>
      <c r="J517" s="129">
        <f t="shared" si="8"/>
        <v>107</v>
      </c>
      <c r="K517" s="39" t="s">
        <v>19</v>
      </c>
    </row>
    <row r="518" ht="41" customHeight="1" spans="1:11">
      <c r="A518" s="114"/>
      <c r="B518" s="112">
        <v>13310000080011</v>
      </c>
      <c r="C518" s="67" t="s">
        <v>1326</v>
      </c>
      <c r="D518" s="37"/>
      <c r="E518" s="37"/>
      <c r="F518" s="37"/>
      <c r="G518" s="37"/>
      <c r="H518" s="67" t="s">
        <v>45</v>
      </c>
      <c r="I518" s="37"/>
      <c r="J518" s="129">
        <f>+J516*0.23</f>
        <v>123.05</v>
      </c>
      <c r="K518" s="39" t="s">
        <v>19</v>
      </c>
    </row>
    <row r="519" ht="41" customHeight="1" spans="1:11">
      <c r="A519" s="114"/>
      <c r="B519" s="112">
        <v>13310000080021</v>
      </c>
      <c r="C519" s="67" t="s">
        <v>1327</v>
      </c>
      <c r="D519" s="37"/>
      <c r="E519" s="37"/>
      <c r="F519" s="37"/>
      <c r="G519" s="37"/>
      <c r="H519" s="67" t="s">
        <v>45</v>
      </c>
      <c r="I519" s="37"/>
      <c r="J519" s="129">
        <f>+J516*0.45</f>
        <v>240.75</v>
      </c>
      <c r="K519" s="39" t="s">
        <v>19</v>
      </c>
    </row>
    <row r="520" ht="41" customHeight="1" spans="1:11">
      <c r="A520" s="115"/>
      <c r="B520" s="112">
        <v>13310000080031</v>
      </c>
      <c r="C520" s="67" t="s">
        <v>1328</v>
      </c>
      <c r="D520" s="37"/>
      <c r="E520" s="37"/>
      <c r="F520" s="37"/>
      <c r="G520" s="37"/>
      <c r="H520" s="67" t="s">
        <v>45</v>
      </c>
      <c r="I520" s="37"/>
      <c r="J520" s="129">
        <f>+J516*0.23</f>
        <v>123.05</v>
      </c>
      <c r="K520" s="39" t="s">
        <v>19</v>
      </c>
    </row>
    <row r="521" ht="41" customHeight="1" spans="1:11">
      <c r="A521" s="111">
        <v>37</v>
      </c>
      <c r="B521" s="112">
        <v>13310000090000</v>
      </c>
      <c r="C521" s="67" t="s">
        <v>1329</v>
      </c>
      <c r="D521" s="67" t="s">
        <v>1330</v>
      </c>
      <c r="E521" s="67" t="s">
        <v>1331</v>
      </c>
      <c r="F521" s="67" t="s">
        <v>1332</v>
      </c>
      <c r="G521" s="37"/>
      <c r="H521" s="67" t="s">
        <v>45</v>
      </c>
      <c r="I521" s="67" t="s">
        <v>1333</v>
      </c>
      <c r="J521" s="129">
        <v>714</v>
      </c>
      <c r="K521" s="39" t="s">
        <v>47</v>
      </c>
    </row>
    <row r="522" ht="41" customHeight="1" spans="1:11">
      <c r="A522" s="114"/>
      <c r="B522" s="112">
        <v>13310000090001</v>
      </c>
      <c r="C522" s="67" t="s">
        <v>1334</v>
      </c>
      <c r="D522" s="37"/>
      <c r="E522" s="37"/>
      <c r="F522" s="37"/>
      <c r="G522" s="37"/>
      <c r="H522" s="67" t="s">
        <v>45</v>
      </c>
      <c r="I522" s="37"/>
      <c r="J522" s="129">
        <f>+J521*0.2</f>
        <v>142.8</v>
      </c>
      <c r="K522" s="39" t="s">
        <v>47</v>
      </c>
    </row>
    <row r="523" ht="41" customHeight="1" spans="1:11">
      <c r="A523" s="114"/>
      <c r="B523" s="112">
        <v>13310000090011</v>
      </c>
      <c r="C523" s="67" t="s">
        <v>1335</v>
      </c>
      <c r="D523" s="37"/>
      <c r="E523" s="37"/>
      <c r="F523" s="37"/>
      <c r="G523" s="37"/>
      <c r="H523" s="67" t="s">
        <v>45</v>
      </c>
      <c r="I523" s="37"/>
      <c r="J523" s="129">
        <f>+J521*0.5</f>
        <v>357</v>
      </c>
      <c r="K523" s="39" t="s">
        <v>47</v>
      </c>
    </row>
    <row r="524" ht="41" customHeight="1" spans="1:11">
      <c r="A524" s="114"/>
      <c r="B524" s="112">
        <v>13310000090021</v>
      </c>
      <c r="C524" s="67" t="s">
        <v>1336</v>
      </c>
      <c r="D524" s="37"/>
      <c r="E524" s="37"/>
      <c r="F524" s="37"/>
      <c r="G524" s="37"/>
      <c r="H524" s="67" t="s">
        <v>45</v>
      </c>
      <c r="I524" s="37"/>
      <c r="J524" s="129">
        <f>+J521*0.67</f>
        <v>478.38</v>
      </c>
      <c r="K524" s="39" t="s">
        <v>47</v>
      </c>
    </row>
    <row r="525" ht="41" customHeight="1" spans="1:11">
      <c r="A525" s="115"/>
      <c r="B525" s="112">
        <v>13310000090031</v>
      </c>
      <c r="C525" s="67" t="s">
        <v>1337</v>
      </c>
      <c r="D525" s="37"/>
      <c r="E525" s="37"/>
      <c r="F525" s="37"/>
      <c r="G525" s="37"/>
      <c r="H525" s="67" t="s">
        <v>45</v>
      </c>
      <c r="I525" s="37"/>
      <c r="J525" s="129">
        <f>+J521*0.59</f>
        <v>421.26</v>
      </c>
      <c r="K525" s="39" t="s">
        <v>47</v>
      </c>
    </row>
    <row r="526" ht="41" customHeight="1" spans="1:11">
      <c r="A526" s="111">
        <v>38</v>
      </c>
      <c r="B526" s="112">
        <v>13310000100000</v>
      </c>
      <c r="C526" s="67" t="s">
        <v>1338</v>
      </c>
      <c r="D526" s="67" t="s">
        <v>1339</v>
      </c>
      <c r="E526" s="67" t="s">
        <v>1340</v>
      </c>
      <c r="F526" s="37"/>
      <c r="G526" s="67" t="s">
        <v>1341</v>
      </c>
      <c r="H526" s="67" t="s">
        <v>45</v>
      </c>
      <c r="I526" s="67" t="s">
        <v>1318</v>
      </c>
      <c r="J526" s="129">
        <v>543</v>
      </c>
      <c r="K526" s="39" t="s">
        <v>47</v>
      </c>
    </row>
    <row r="527" ht="41" customHeight="1" spans="1:11">
      <c r="A527" s="114"/>
      <c r="B527" s="112">
        <v>13310000100001</v>
      </c>
      <c r="C527" s="67" t="s">
        <v>1342</v>
      </c>
      <c r="D527" s="37"/>
      <c r="E527" s="37"/>
      <c r="F527" s="37"/>
      <c r="G527" s="37"/>
      <c r="H527" s="67" t="s">
        <v>45</v>
      </c>
      <c r="I527" s="37"/>
      <c r="J527" s="129">
        <f t="shared" ref="J527:J532" si="9">+J526*0.2</f>
        <v>108.6</v>
      </c>
      <c r="K527" s="39" t="s">
        <v>47</v>
      </c>
    </row>
    <row r="528" ht="41" customHeight="1" spans="1:11">
      <c r="A528" s="115"/>
      <c r="B528" s="112">
        <v>13310000100100</v>
      </c>
      <c r="C528" s="67" t="s">
        <v>1343</v>
      </c>
      <c r="D528" s="37"/>
      <c r="E528" s="37"/>
      <c r="F528" s="37"/>
      <c r="G528" s="37"/>
      <c r="H528" s="67" t="s">
        <v>45</v>
      </c>
      <c r="I528" s="67" t="s">
        <v>1318</v>
      </c>
      <c r="J528" s="129">
        <v>543</v>
      </c>
      <c r="K528" s="39" t="s">
        <v>47</v>
      </c>
    </row>
    <row r="529" ht="41" customHeight="1" spans="1:11">
      <c r="A529" s="111">
        <v>39</v>
      </c>
      <c r="B529" s="112">
        <v>13310000110000</v>
      </c>
      <c r="C529" s="67" t="s">
        <v>1344</v>
      </c>
      <c r="D529" s="67" t="s">
        <v>1345</v>
      </c>
      <c r="E529" s="67" t="s">
        <v>1346</v>
      </c>
      <c r="F529" s="37"/>
      <c r="G529" s="37"/>
      <c r="H529" s="67" t="s">
        <v>45</v>
      </c>
      <c r="I529" s="67" t="s">
        <v>1318</v>
      </c>
      <c r="J529" s="129">
        <v>1720</v>
      </c>
      <c r="K529" s="39" t="s">
        <v>40</v>
      </c>
    </row>
    <row r="530" ht="41" customHeight="1" spans="1:11">
      <c r="A530" s="115"/>
      <c r="B530" s="112">
        <v>13310000110001</v>
      </c>
      <c r="C530" s="67" t="s">
        <v>1347</v>
      </c>
      <c r="D530" s="37"/>
      <c r="E530" s="37"/>
      <c r="F530" s="37"/>
      <c r="G530" s="37"/>
      <c r="H530" s="67" t="s">
        <v>45</v>
      </c>
      <c r="I530" s="37"/>
      <c r="J530" s="129">
        <f t="shared" si="9"/>
        <v>344</v>
      </c>
      <c r="K530" s="39" t="s">
        <v>40</v>
      </c>
    </row>
    <row r="531" ht="41" customHeight="1" spans="1:11">
      <c r="A531" s="111">
        <v>40</v>
      </c>
      <c r="B531" s="112">
        <v>13310000120000</v>
      </c>
      <c r="C531" s="67" t="s">
        <v>1348</v>
      </c>
      <c r="D531" s="67" t="s">
        <v>1349</v>
      </c>
      <c r="E531" s="67" t="s">
        <v>1350</v>
      </c>
      <c r="F531" s="37"/>
      <c r="G531" s="67" t="s">
        <v>1351</v>
      </c>
      <c r="H531" s="67" t="s">
        <v>35</v>
      </c>
      <c r="I531" s="37"/>
      <c r="J531" s="129">
        <v>1006</v>
      </c>
      <c r="K531" s="39" t="s">
        <v>47</v>
      </c>
    </row>
    <row r="532" ht="41" customHeight="1" spans="1:11">
      <c r="A532" s="114"/>
      <c r="B532" s="112">
        <v>13310000120001</v>
      </c>
      <c r="C532" s="67" t="s">
        <v>1352</v>
      </c>
      <c r="D532" s="37"/>
      <c r="E532" s="37"/>
      <c r="F532" s="37"/>
      <c r="G532" s="37"/>
      <c r="H532" s="67" t="s">
        <v>35</v>
      </c>
      <c r="I532" s="37"/>
      <c r="J532" s="129">
        <f t="shared" si="9"/>
        <v>201.2</v>
      </c>
      <c r="K532" s="39" t="s">
        <v>47</v>
      </c>
    </row>
    <row r="533" ht="41" customHeight="1" spans="1:11">
      <c r="A533" s="115"/>
      <c r="B533" s="112">
        <v>13310000120100</v>
      </c>
      <c r="C533" s="67" t="s">
        <v>1353</v>
      </c>
      <c r="D533" s="37"/>
      <c r="E533" s="37"/>
      <c r="F533" s="37"/>
      <c r="G533" s="37"/>
      <c r="H533" s="67" t="s">
        <v>35</v>
      </c>
      <c r="I533" s="37"/>
      <c r="J533" s="129">
        <v>1006</v>
      </c>
      <c r="K533" s="39" t="s">
        <v>47</v>
      </c>
    </row>
    <row r="534" ht="41" customHeight="1" spans="1:11">
      <c r="A534" s="111">
        <v>41</v>
      </c>
      <c r="B534" s="112">
        <v>13310000130000</v>
      </c>
      <c r="C534" s="67" t="s">
        <v>1354</v>
      </c>
      <c r="D534" s="67" t="s">
        <v>1355</v>
      </c>
      <c r="E534" s="67" t="s">
        <v>1356</v>
      </c>
      <c r="F534" s="37"/>
      <c r="G534" s="37"/>
      <c r="H534" s="67" t="s">
        <v>35</v>
      </c>
      <c r="I534" s="37"/>
      <c r="J534" s="129">
        <v>2075</v>
      </c>
      <c r="K534" s="39" t="s">
        <v>47</v>
      </c>
    </row>
    <row r="535" ht="41" customHeight="1" spans="1:11">
      <c r="A535" s="115"/>
      <c r="B535" s="112">
        <v>13310000130001</v>
      </c>
      <c r="C535" s="67" t="s">
        <v>1357</v>
      </c>
      <c r="D535" s="37"/>
      <c r="E535" s="37"/>
      <c r="F535" s="37"/>
      <c r="G535" s="37"/>
      <c r="H535" s="67" t="s">
        <v>35</v>
      </c>
      <c r="I535" s="37"/>
      <c r="J535" s="129">
        <f t="shared" ref="J535:J540" si="10">+J534*0.2</f>
        <v>415</v>
      </c>
      <c r="K535" s="39" t="s">
        <v>47</v>
      </c>
    </row>
    <row r="536" ht="41" customHeight="1" spans="1:11">
      <c r="A536" s="111">
        <v>42</v>
      </c>
      <c r="B536" s="112">
        <v>13310000140000</v>
      </c>
      <c r="C536" s="67" t="s">
        <v>1358</v>
      </c>
      <c r="D536" s="67" t="s">
        <v>1359</v>
      </c>
      <c r="E536" s="67" t="s">
        <v>1360</v>
      </c>
      <c r="F536" s="37"/>
      <c r="G536" s="67" t="s">
        <v>1361</v>
      </c>
      <c r="H536" s="67" t="s">
        <v>35</v>
      </c>
      <c r="I536" s="37"/>
      <c r="J536" s="129">
        <v>928</v>
      </c>
      <c r="K536" s="39" t="s">
        <v>47</v>
      </c>
    </row>
    <row r="537" ht="41" customHeight="1" spans="1:11">
      <c r="A537" s="114"/>
      <c r="B537" s="112">
        <v>13310000140001</v>
      </c>
      <c r="C537" s="67" t="s">
        <v>1362</v>
      </c>
      <c r="D537" s="37"/>
      <c r="E537" s="37"/>
      <c r="F537" s="37"/>
      <c r="G537" s="37"/>
      <c r="H537" s="67" t="s">
        <v>35</v>
      </c>
      <c r="I537" s="37"/>
      <c r="J537" s="129">
        <f t="shared" si="10"/>
        <v>185.6</v>
      </c>
      <c r="K537" s="39" t="s">
        <v>47</v>
      </c>
    </row>
    <row r="538" ht="41" customHeight="1" spans="1:11">
      <c r="A538" s="115"/>
      <c r="B538" s="112">
        <v>13310000140100</v>
      </c>
      <c r="C538" s="67" t="s">
        <v>1363</v>
      </c>
      <c r="D538" s="37"/>
      <c r="E538" s="37"/>
      <c r="F538" s="37"/>
      <c r="G538" s="37"/>
      <c r="H538" s="67" t="s">
        <v>35</v>
      </c>
      <c r="I538" s="37"/>
      <c r="J538" s="129">
        <v>928</v>
      </c>
      <c r="K538" s="39" t="s">
        <v>40</v>
      </c>
    </row>
    <row r="539" ht="41" customHeight="1" spans="1:11">
      <c r="A539" s="111">
        <v>43</v>
      </c>
      <c r="B539" s="112">
        <v>13310000150000</v>
      </c>
      <c r="C539" s="67" t="s">
        <v>1364</v>
      </c>
      <c r="D539" s="67" t="s">
        <v>1365</v>
      </c>
      <c r="E539" s="67" t="s">
        <v>1346</v>
      </c>
      <c r="F539" s="37"/>
      <c r="G539" s="37"/>
      <c r="H539" s="67" t="s">
        <v>35</v>
      </c>
      <c r="I539" s="37"/>
      <c r="J539" s="129">
        <v>2100</v>
      </c>
      <c r="K539" s="39" t="s">
        <v>19</v>
      </c>
    </row>
    <row r="540" ht="41" customHeight="1" spans="1:11">
      <c r="A540" s="115"/>
      <c r="B540" s="112">
        <v>13310000150001</v>
      </c>
      <c r="C540" s="67" t="s">
        <v>1366</v>
      </c>
      <c r="D540" s="37"/>
      <c r="E540" s="37"/>
      <c r="F540" s="37"/>
      <c r="G540" s="37"/>
      <c r="H540" s="67" t="s">
        <v>35</v>
      </c>
      <c r="I540" s="37"/>
      <c r="J540" s="129">
        <f t="shared" si="10"/>
        <v>420</v>
      </c>
      <c r="K540" s="39" t="s">
        <v>19</v>
      </c>
    </row>
    <row r="541" ht="41" customHeight="1" spans="1:11">
      <c r="A541" s="111">
        <v>44</v>
      </c>
      <c r="B541" s="112">
        <v>13310000160000</v>
      </c>
      <c r="C541" s="67" t="s">
        <v>1367</v>
      </c>
      <c r="D541" s="67" t="s">
        <v>1368</v>
      </c>
      <c r="E541" s="67" t="s">
        <v>1369</v>
      </c>
      <c r="F541" s="37"/>
      <c r="G541" s="37"/>
      <c r="H541" s="67" t="s">
        <v>35</v>
      </c>
      <c r="I541" s="37"/>
      <c r="J541" s="129">
        <v>1125</v>
      </c>
      <c r="K541" s="39" t="s">
        <v>40</v>
      </c>
    </row>
    <row r="542" ht="41" customHeight="1" spans="1:11">
      <c r="A542" s="115"/>
      <c r="B542" s="112">
        <v>13310000160001</v>
      </c>
      <c r="C542" s="67" t="s">
        <v>1370</v>
      </c>
      <c r="D542" s="37"/>
      <c r="E542" s="37"/>
      <c r="F542" s="37"/>
      <c r="G542" s="37"/>
      <c r="H542" s="67" t="s">
        <v>35</v>
      </c>
      <c r="I542" s="37"/>
      <c r="J542" s="129">
        <f t="shared" ref="J542:J547" si="11">+J541*0.2</f>
        <v>225</v>
      </c>
      <c r="K542" s="39" t="s">
        <v>40</v>
      </c>
    </row>
    <row r="543" ht="41" customHeight="1" spans="1:11">
      <c r="A543" s="111">
        <v>45</v>
      </c>
      <c r="B543" s="112">
        <v>13310000170000</v>
      </c>
      <c r="C543" s="67" t="s">
        <v>1371</v>
      </c>
      <c r="D543" s="67" t="s">
        <v>1372</v>
      </c>
      <c r="E543" s="67" t="s">
        <v>1373</v>
      </c>
      <c r="F543" s="37"/>
      <c r="G543" s="67" t="s">
        <v>1374</v>
      </c>
      <c r="H543" s="67" t="s">
        <v>35</v>
      </c>
      <c r="I543" s="37"/>
      <c r="J543" s="129">
        <v>296</v>
      </c>
      <c r="K543" s="39" t="s">
        <v>40</v>
      </c>
    </row>
    <row r="544" ht="41" customHeight="1" spans="1:11">
      <c r="A544" s="114"/>
      <c r="B544" s="112">
        <v>13310000170001</v>
      </c>
      <c r="C544" s="67" t="s">
        <v>1375</v>
      </c>
      <c r="D544" s="37"/>
      <c r="E544" s="37"/>
      <c r="F544" s="37"/>
      <c r="G544" s="37"/>
      <c r="H544" s="67" t="s">
        <v>35</v>
      </c>
      <c r="I544" s="37"/>
      <c r="J544" s="129">
        <f t="shared" si="11"/>
        <v>59.2</v>
      </c>
      <c r="K544" s="39" t="s">
        <v>40</v>
      </c>
    </row>
    <row r="545" ht="41" customHeight="1" spans="1:11">
      <c r="A545" s="115"/>
      <c r="B545" s="112">
        <v>13310000170100</v>
      </c>
      <c r="C545" s="67" t="s">
        <v>1376</v>
      </c>
      <c r="D545" s="37"/>
      <c r="E545" s="37"/>
      <c r="F545" s="37"/>
      <c r="G545" s="37"/>
      <c r="H545" s="67" t="s">
        <v>35</v>
      </c>
      <c r="I545" s="37"/>
      <c r="J545" s="129">
        <v>296</v>
      </c>
      <c r="K545" s="39" t="s">
        <v>40</v>
      </c>
    </row>
    <row r="546" ht="41" customHeight="1" spans="1:11">
      <c r="A546" s="111">
        <v>46</v>
      </c>
      <c r="B546" s="112">
        <v>13310000180000</v>
      </c>
      <c r="C546" s="67" t="s">
        <v>1377</v>
      </c>
      <c r="D546" s="67" t="s">
        <v>1378</v>
      </c>
      <c r="E546" s="67" t="s">
        <v>1379</v>
      </c>
      <c r="F546" s="37"/>
      <c r="G546" s="37"/>
      <c r="H546" s="67" t="s">
        <v>35</v>
      </c>
      <c r="I546" s="37"/>
      <c r="J546" s="129">
        <v>393</v>
      </c>
      <c r="K546" s="39" t="s">
        <v>19</v>
      </c>
    </row>
    <row r="547" ht="41" customHeight="1" spans="1:11">
      <c r="A547" s="115"/>
      <c r="B547" s="112">
        <v>13310000180001</v>
      </c>
      <c r="C547" s="67" t="s">
        <v>1380</v>
      </c>
      <c r="D547" s="37"/>
      <c r="E547" s="37"/>
      <c r="F547" s="37"/>
      <c r="G547" s="37"/>
      <c r="H547" s="67" t="s">
        <v>35</v>
      </c>
      <c r="I547" s="37"/>
      <c r="J547" s="129">
        <f t="shared" si="11"/>
        <v>78.6</v>
      </c>
      <c r="K547" s="39" t="s">
        <v>19</v>
      </c>
    </row>
    <row r="548" ht="41" customHeight="1" spans="1:11">
      <c r="A548" s="111">
        <v>47</v>
      </c>
      <c r="B548" s="112">
        <v>13310000190000</v>
      </c>
      <c r="C548" s="67" t="s">
        <v>1381</v>
      </c>
      <c r="D548" s="67" t="s">
        <v>1382</v>
      </c>
      <c r="E548" s="67" t="s">
        <v>1383</v>
      </c>
      <c r="F548" s="37"/>
      <c r="G548" s="37"/>
      <c r="H548" s="67" t="s">
        <v>35</v>
      </c>
      <c r="I548" s="37"/>
      <c r="J548" s="129">
        <v>1918</v>
      </c>
      <c r="K548" s="39" t="s">
        <v>40</v>
      </c>
    </row>
    <row r="549" ht="41" customHeight="1" spans="1:11">
      <c r="A549" s="115"/>
      <c r="B549" s="112">
        <v>13310000190001</v>
      </c>
      <c r="C549" s="67" t="s">
        <v>1384</v>
      </c>
      <c r="D549" s="37"/>
      <c r="E549" s="37"/>
      <c r="F549" s="37"/>
      <c r="G549" s="37"/>
      <c r="H549" s="67" t="s">
        <v>35</v>
      </c>
      <c r="I549" s="37"/>
      <c r="J549" s="129">
        <f t="shared" ref="J549:J554" si="12">+J548*0.2</f>
        <v>383.6</v>
      </c>
      <c r="K549" s="39" t="s">
        <v>40</v>
      </c>
    </row>
    <row r="550" ht="41" customHeight="1" spans="1:11">
      <c r="A550" s="111">
        <v>48</v>
      </c>
      <c r="B550" s="112">
        <v>13310000200000</v>
      </c>
      <c r="C550" s="67" t="s">
        <v>1385</v>
      </c>
      <c r="D550" s="67" t="s">
        <v>1386</v>
      </c>
      <c r="E550" s="67" t="s">
        <v>1387</v>
      </c>
      <c r="F550" s="67" t="s">
        <v>1388</v>
      </c>
      <c r="G550" s="37"/>
      <c r="H550" s="67" t="s">
        <v>35</v>
      </c>
      <c r="I550" s="37"/>
      <c r="J550" s="129">
        <v>2835</v>
      </c>
      <c r="K550" s="39" t="s">
        <v>19</v>
      </c>
    </row>
    <row r="551" ht="41" customHeight="1" spans="1:11">
      <c r="A551" s="114"/>
      <c r="B551" s="112">
        <v>13310000200001</v>
      </c>
      <c r="C551" s="67" t="s">
        <v>1389</v>
      </c>
      <c r="D551" s="37"/>
      <c r="E551" s="37"/>
      <c r="F551" s="37"/>
      <c r="G551" s="37"/>
      <c r="H551" s="67" t="s">
        <v>35</v>
      </c>
      <c r="I551" s="37"/>
      <c r="J551" s="129">
        <f t="shared" si="12"/>
        <v>567</v>
      </c>
      <c r="K551" s="39" t="s">
        <v>19</v>
      </c>
    </row>
    <row r="552" ht="41" customHeight="1" spans="1:11">
      <c r="A552" s="115"/>
      <c r="B552" s="112">
        <v>13310000200011</v>
      </c>
      <c r="C552" s="67" t="s">
        <v>1390</v>
      </c>
      <c r="D552" s="37"/>
      <c r="E552" s="37"/>
      <c r="F552" s="37"/>
      <c r="G552" s="37"/>
      <c r="H552" s="67" t="s">
        <v>35</v>
      </c>
      <c r="I552" s="37"/>
      <c r="J552" s="129">
        <f>+J550*0.23</f>
        <v>652.05</v>
      </c>
      <c r="K552" s="39" t="s">
        <v>19</v>
      </c>
    </row>
    <row r="553" ht="41" customHeight="1" spans="1:11">
      <c r="A553" s="111">
        <v>49</v>
      </c>
      <c r="B553" s="112">
        <v>13310000210000</v>
      </c>
      <c r="C553" s="67" t="s">
        <v>1391</v>
      </c>
      <c r="D553" s="67" t="s">
        <v>1392</v>
      </c>
      <c r="E553" s="67" t="s">
        <v>1393</v>
      </c>
      <c r="F553" s="67" t="s">
        <v>1394</v>
      </c>
      <c r="G553" s="37"/>
      <c r="H553" s="67" t="s">
        <v>35</v>
      </c>
      <c r="I553" s="37"/>
      <c r="J553" s="129">
        <v>2835</v>
      </c>
      <c r="K553" s="39" t="s">
        <v>19</v>
      </c>
    </row>
    <row r="554" ht="41" customHeight="1" spans="1:11">
      <c r="A554" s="114"/>
      <c r="B554" s="112">
        <v>13310000210001</v>
      </c>
      <c r="C554" s="67" t="s">
        <v>1395</v>
      </c>
      <c r="D554" s="37"/>
      <c r="E554" s="37"/>
      <c r="F554" s="37"/>
      <c r="G554" s="37"/>
      <c r="H554" s="67" t="s">
        <v>35</v>
      </c>
      <c r="I554" s="37"/>
      <c r="J554" s="129">
        <f t="shared" si="12"/>
        <v>567</v>
      </c>
      <c r="K554" s="39" t="s">
        <v>19</v>
      </c>
    </row>
    <row r="555" ht="41" customHeight="1" spans="1:11">
      <c r="A555" s="114"/>
      <c r="B555" s="112">
        <v>13310000210011</v>
      </c>
      <c r="C555" s="67" t="s">
        <v>1396</v>
      </c>
      <c r="D555" s="37"/>
      <c r="E555" s="37"/>
      <c r="F555" s="37"/>
      <c r="G555" s="37"/>
      <c r="H555" s="67" t="s">
        <v>35</v>
      </c>
      <c r="I555" s="37"/>
      <c r="J555" s="129">
        <f>+J553*0.3</f>
        <v>850.5</v>
      </c>
      <c r="K555" s="39" t="s">
        <v>19</v>
      </c>
    </row>
    <row r="556" ht="41" customHeight="1" spans="1:11">
      <c r="A556" s="115"/>
      <c r="B556" s="112">
        <v>13310000210021</v>
      </c>
      <c r="C556" s="67" t="s">
        <v>1397</v>
      </c>
      <c r="D556" s="37"/>
      <c r="E556" s="37"/>
      <c r="F556" s="37"/>
      <c r="G556" s="37"/>
      <c r="H556" s="67" t="s">
        <v>35</v>
      </c>
      <c r="I556" s="37"/>
      <c r="J556" s="129">
        <f>+J553*0.27</f>
        <v>765.45</v>
      </c>
      <c r="K556" s="39" t="s">
        <v>19</v>
      </c>
    </row>
    <row r="557" ht="41" customHeight="1" spans="1:11">
      <c r="A557" s="111">
        <v>50</v>
      </c>
      <c r="B557" s="112">
        <v>13310000220000</v>
      </c>
      <c r="C557" s="67" t="s">
        <v>1398</v>
      </c>
      <c r="D557" s="67" t="s">
        <v>1399</v>
      </c>
      <c r="E557" s="67" t="s">
        <v>1393</v>
      </c>
      <c r="F557" s="67" t="s">
        <v>1400</v>
      </c>
      <c r="G557" s="37"/>
      <c r="H557" s="67" t="s">
        <v>35</v>
      </c>
      <c r="I557" s="67" t="s">
        <v>1401</v>
      </c>
      <c r="J557" s="129">
        <v>4200</v>
      </c>
      <c r="K557" s="39" t="s">
        <v>19</v>
      </c>
    </row>
    <row r="558" ht="41" customHeight="1" spans="1:11">
      <c r="A558" s="114"/>
      <c r="B558" s="112">
        <v>13310000220001</v>
      </c>
      <c r="C558" s="67" t="s">
        <v>1402</v>
      </c>
      <c r="D558" s="37"/>
      <c r="E558" s="37"/>
      <c r="F558" s="37"/>
      <c r="G558" s="37"/>
      <c r="H558" s="67" t="s">
        <v>35</v>
      </c>
      <c r="I558" s="37"/>
      <c r="J558" s="129">
        <f>+J557*0.2</f>
        <v>840</v>
      </c>
      <c r="K558" s="39" t="s">
        <v>19</v>
      </c>
    </row>
    <row r="559" ht="41" customHeight="1" spans="1:11">
      <c r="A559" s="114"/>
      <c r="B559" s="112">
        <v>13310000220011</v>
      </c>
      <c r="C559" s="67" t="s">
        <v>1403</v>
      </c>
      <c r="D559" s="37"/>
      <c r="E559" s="37"/>
      <c r="F559" s="37"/>
      <c r="G559" s="37"/>
      <c r="H559" s="67" t="s">
        <v>35</v>
      </c>
      <c r="I559" s="67" t="s">
        <v>1401</v>
      </c>
      <c r="J559" s="129">
        <f>+J557*0.3</f>
        <v>1260</v>
      </c>
      <c r="K559" s="39" t="s">
        <v>19</v>
      </c>
    </row>
    <row r="560" ht="41" customHeight="1" spans="1:11">
      <c r="A560" s="115"/>
      <c r="B560" s="112">
        <v>13310000220021</v>
      </c>
      <c r="C560" s="67" t="s">
        <v>1404</v>
      </c>
      <c r="D560" s="37"/>
      <c r="E560" s="37"/>
      <c r="F560" s="37"/>
      <c r="G560" s="37"/>
      <c r="H560" s="67" t="s">
        <v>35</v>
      </c>
      <c r="I560" s="37"/>
      <c r="J560" s="129">
        <f>+J557*0.2</f>
        <v>840</v>
      </c>
      <c r="K560" s="39" t="s">
        <v>19</v>
      </c>
    </row>
    <row r="561" ht="41" customHeight="1" spans="1:11">
      <c r="A561" s="111">
        <v>51</v>
      </c>
      <c r="B561" s="112">
        <v>13310000230000</v>
      </c>
      <c r="C561" s="67" t="s">
        <v>1405</v>
      </c>
      <c r="D561" s="67" t="s">
        <v>1406</v>
      </c>
      <c r="E561" s="67" t="s">
        <v>1407</v>
      </c>
      <c r="F561" s="37"/>
      <c r="G561" s="37"/>
      <c r="H561" s="67" t="s">
        <v>35</v>
      </c>
      <c r="I561" s="37"/>
      <c r="J561" s="129">
        <v>2122</v>
      </c>
      <c r="K561" s="39" t="s">
        <v>19</v>
      </c>
    </row>
    <row r="562" ht="41" customHeight="1" spans="1:11">
      <c r="A562" s="115"/>
      <c r="B562" s="112">
        <v>13310000230001</v>
      </c>
      <c r="C562" s="67" t="s">
        <v>1408</v>
      </c>
      <c r="D562" s="37"/>
      <c r="E562" s="37"/>
      <c r="F562" s="37"/>
      <c r="G562" s="37"/>
      <c r="H562" s="67" t="s">
        <v>35</v>
      </c>
      <c r="I562" s="37"/>
      <c r="J562" s="129">
        <f t="shared" ref="J562:J566" si="13">+J561*0.2</f>
        <v>424.4</v>
      </c>
      <c r="K562" s="39" t="s">
        <v>19</v>
      </c>
    </row>
    <row r="563" ht="41" customHeight="1" spans="1:11">
      <c r="A563" s="111">
        <v>52</v>
      </c>
      <c r="B563" s="112">
        <v>13310000240000</v>
      </c>
      <c r="C563" s="67" t="s">
        <v>1409</v>
      </c>
      <c r="D563" s="67" t="s">
        <v>1410</v>
      </c>
      <c r="E563" s="67" t="s">
        <v>1411</v>
      </c>
      <c r="F563" s="37"/>
      <c r="G563" s="37"/>
      <c r="H563" s="67" t="s">
        <v>35</v>
      </c>
      <c r="I563" s="37"/>
      <c r="J563" s="129">
        <v>3439</v>
      </c>
      <c r="K563" s="39" t="s">
        <v>19</v>
      </c>
    </row>
    <row r="564" ht="41" customHeight="1" spans="1:11">
      <c r="A564" s="115"/>
      <c r="B564" s="112">
        <v>13310000240001</v>
      </c>
      <c r="C564" s="67" t="s">
        <v>1412</v>
      </c>
      <c r="D564" s="37"/>
      <c r="E564" s="37"/>
      <c r="F564" s="37"/>
      <c r="G564" s="37"/>
      <c r="H564" s="67" t="s">
        <v>35</v>
      </c>
      <c r="I564" s="37"/>
      <c r="J564" s="129">
        <f t="shared" si="13"/>
        <v>687.8</v>
      </c>
      <c r="K564" s="39" t="s">
        <v>19</v>
      </c>
    </row>
    <row r="565" ht="41" customHeight="1" spans="1:11">
      <c r="A565" s="111">
        <v>53</v>
      </c>
      <c r="B565" s="112">
        <v>13310000250000</v>
      </c>
      <c r="C565" s="67" t="s">
        <v>1413</v>
      </c>
      <c r="D565" s="67" t="s">
        <v>1414</v>
      </c>
      <c r="E565" s="67" t="s">
        <v>1415</v>
      </c>
      <c r="F565" s="37"/>
      <c r="G565" s="37"/>
      <c r="H565" s="67" t="s">
        <v>35</v>
      </c>
      <c r="I565" s="37"/>
      <c r="J565" s="129">
        <v>1780</v>
      </c>
      <c r="K565" s="39" t="s">
        <v>19</v>
      </c>
    </row>
    <row r="566" ht="41" customHeight="1" spans="1:11">
      <c r="A566" s="115"/>
      <c r="B566" s="112">
        <v>13310000250001</v>
      </c>
      <c r="C566" s="67" t="s">
        <v>1416</v>
      </c>
      <c r="D566" s="37"/>
      <c r="E566" s="37"/>
      <c r="F566" s="37"/>
      <c r="G566" s="37"/>
      <c r="H566" s="67" t="s">
        <v>35</v>
      </c>
      <c r="I566" s="37"/>
      <c r="J566" s="129">
        <f t="shared" si="13"/>
        <v>356</v>
      </c>
      <c r="K566" s="39" t="s">
        <v>19</v>
      </c>
    </row>
    <row r="567" ht="41" customHeight="1" spans="1:11">
      <c r="A567" s="111">
        <v>54</v>
      </c>
      <c r="B567" s="112">
        <v>13310000260000</v>
      </c>
      <c r="C567" s="67" t="s">
        <v>1417</v>
      </c>
      <c r="D567" s="67" t="s">
        <v>1418</v>
      </c>
      <c r="E567" s="67" t="s">
        <v>1419</v>
      </c>
      <c r="F567" s="67" t="s">
        <v>1420</v>
      </c>
      <c r="G567" s="37"/>
      <c r="H567" s="67" t="s">
        <v>35</v>
      </c>
      <c r="I567" s="67" t="s">
        <v>1421</v>
      </c>
      <c r="J567" s="129">
        <v>2835</v>
      </c>
      <c r="K567" s="39" t="s">
        <v>19</v>
      </c>
    </row>
    <row r="568" ht="41" customHeight="1" spans="1:11">
      <c r="A568" s="114"/>
      <c r="B568" s="112">
        <v>13310000260001</v>
      </c>
      <c r="C568" s="67" t="s">
        <v>1422</v>
      </c>
      <c r="D568" s="37"/>
      <c r="E568" s="37"/>
      <c r="F568" s="37"/>
      <c r="G568" s="37"/>
      <c r="H568" s="67" t="s">
        <v>35</v>
      </c>
      <c r="I568" s="37"/>
      <c r="J568" s="129">
        <f>+J567*0.2</f>
        <v>567</v>
      </c>
      <c r="K568" s="39" t="s">
        <v>19</v>
      </c>
    </row>
    <row r="569" ht="41" customHeight="1" spans="1:11">
      <c r="A569" s="115"/>
      <c r="B569" s="112">
        <v>13310000260011</v>
      </c>
      <c r="C569" s="67" t="s">
        <v>1423</v>
      </c>
      <c r="D569" s="37"/>
      <c r="E569" s="37"/>
      <c r="F569" s="37"/>
      <c r="G569" s="37"/>
      <c r="H569" s="67" t="s">
        <v>35</v>
      </c>
      <c r="I569" s="37"/>
      <c r="J569" s="129">
        <f>+J567*0.5</f>
        <v>1417.5</v>
      </c>
      <c r="K569" s="39" t="s">
        <v>19</v>
      </c>
    </row>
    <row r="570" ht="41" customHeight="1" spans="1:11">
      <c r="A570" s="111">
        <v>55</v>
      </c>
      <c r="B570" s="112">
        <v>13310000270000</v>
      </c>
      <c r="C570" s="67" t="s">
        <v>1424</v>
      </c>
      <c r="D570" s="67" t="s">
        <v>1425</v>
      </c>
      <c r="E570" s="67" t="s">
        <v>1426</v>
      </c>
      <c r="F570" s="67" t="s">
        <v>1427</v>
      </c>
      <c r="G570" s="37"/>
      <c r="H570" s="67" t="s">
        <v>35</v>
      </c>
      <c r="I570" s="37"/>
      <c r="J570" s="129">
        <v>1824</v>
      </c>
      <c r="K570" s="39" t="s">
        <v>19</v>
      </c>
    </row>
    <row r="571" ht="41" customHeight="1" spans="1:11">
      <c r="A571" s="114"/>
      <c r="B571" s="112">
        <v>13310000270001</v>
      </c>
      <c r="C571" s="67" t="s">
        <v>1428</v>
      </c>
      <c r="D571" s="37"/>
      <c r="E571" s="37"/>
      <c r="F571" s="37"/>
      <c r="G571" s="37"/>
      <c r="H571" s="67" t="s">
        <v>35</v>
      </c>
      <c r="I571" s="37"/>
      <c r="J571" s="129">
        <f>+J570*0.2</f>
        <v>364.8</v>
      </c>
      <c r="K571" s="39" t="s">
        <v>19</v>
      </c>
    </row>
    <row r="572" ht="41" customHeight="1" spans="1:11">
      <c r="A572" s="114"/>
      <c r="B572" s="112">
        <v>13310000270011</v>
      </c>
      <c r="C572" s="67" t="s">
        <v>1429</v>
      </c>
      <c r="D572" s="37"/>
      <c r="E572" s="37"/>
      <c r="F572" s="37"/>
      <c r="G572" s="37"/>
      <c r="H572" s="67" t="s">
        <v>35</v>
      </c>
      <c r="I572" s="37"/>
      <c r="J572" s="129">
        <f>+J570*0.41</f>
        <v>747.84</v>
      </c>
      <c r="K572" s="39" t="s">
        <v>19</v>
      </c>
    </row>
    <row r="573" ht="41" customHeight="1" spans="1:11">
      <c r="A573" s="115"/>
      <c r="B573" s="112">
        <v>13310000270021</v>
      </c>
      <c r="C573" s="67" t="s">
        <v>1430</v>
      </c>
      <c r="D573" s="37"/>
      <c r="E573" s="37"/>
      <c r="F573" s="37"/>
      <c r="G573" s="37"/>
      <c r="H573" s="67" t="s">
        <v>35</v>
      </c>
      <c r="I573" s="37"/>
      <c r="J573" s="129">
        <f>+J570*0.5</f>
        <v>912</v>
      </c>
      <c r="K573" s="39" t="s">
        <v>19</v>
      </c>
    </row>
    <row r="574" ht="41" customHeight="1" spans="1:11">
      <c r="A574" s="111">
        <v>56</v>
      </c>
      <c r="B574" s="112">
        <v>13310000280000</v>
      </c>
      <c r="C574" s="67" t="s">
        <v>1431</v>
      </c>
      <c r="D574" s="67" t="s">
        <v>1432</v>
      </c>
      <c r="E574" s="67" t="s">
        <v>1426</v>
      </c>
      <c r="F574" s="67" t="s">
        <v>1433</v>
      </c>
      <c r="G574" s="37"/>
      <c r="H574" s="67" t="s">
        <v>35</v>
      </c>
      <c r="I574" s="67" t="s">
        <v>1401</v>
      </c>
      <c r="J574" s="129">
        <v>3641</v>
      </c>
      <c r="K574" s="39" t="s">
        <v>19</v>
      </c>
    </row>
    <row r="575" ht="41" customHeight="1" spans="1:11">
      <c r="A575" s="114"/>
      <c r="B575" s="112">
        <v>13310000280001</v>
      </c>
      <c r="C575" s="67" t="s">
        <v>1434</v>
      </c>
      <c r="D575" s="37"/>
      <c r="E575" s="37"/>
      <c r="F575" s="37"/>
      <c r="G575" s="37"/>
      <c r="H575" s="67" t="s">
        <v>35</v>
      </c>
      <c r="I575" s="37"/>
      <c r="J575" s="129">
        <f>+J574*0.2</f>
        <v>728.2</v>
      </c>
      <c r="K575" s="39" t="s">
        <v>19</v>
      </c>
    </row>
    <row r="576" ht="41" customHeight="1" spans="1:11">
      <c r="A576" s="114"/>
      <c r="B576" s="112">
        <v>13310000280011</v>
      </c>
      <c r="C576" s="67" t="s">
        <v>1435</v>
      </c>
      <c r="D576" s="37"/>
      <c r="E576" s="37"/>
      <c r="F576" s="37"/>
      <c r="G576" s="37"/>
      <c r="H576" s="67" t="s">
        <v>35</v>
      </c>
      <c r="I576" s="67" t="s">
        <v>1401</v>
      </c>
      <c r="J576" s="129">
        <f>+J574*0.47</f>
        <v>1711.27</v>
      </c>
      <c r="K576" s="39" t="s">
        <v>19</v>
      </c>
    </row>
    <row r="577" ht="41" customHeight="1" spans="1:11">
      <c r="A577" s="115"/>
      <c r="B577" s="112">
        <v>13310000280021</v>
      </c>
      <c r="C577" s="67" t="s">
        <v>1436</v>
      </c>
      <c r="D577" s="37"/>
      <c r="E577" s="37"/>
      <c r="F577" s="37"/>
      <c r="G577" s="37"/>
      <c r="H577" s="67" t="s">
        <v>35</v>
      </c>
      <c r="I577" s="37"/>
      <c r="J577" s="129">
        <f>+J574*0.15</f>
        <v>546.15</v>
      </c>
      <c r="K577" s="39" t="s">
        <v>19</v>
      </c>
    </row>
    <row r="578" ht="41" customHeight="1" spans="1:11">
      <c r="A578" s="111">
        <v>57</v>
      </c>
      <c r="B578" s="112">
        <v>13310000290000</v>
      </c>
      <c r="C578" s="67" t="s">
        <v>1437</v>
      </c>
      <c r="D578" s="67" t="s">
        <v>1438</v>
      </c>
      <c r="E578" s="67" t="s">
        <v>1426</v>
      </c>
      <c r="F578" s="67" t="s">
        <v>1439</v>
      </c>
      <c r="G578" s="37"/>
      <c r="H578" s="67" t="s">
        <v>35</v>
      </c>
      <c r="I578" s="67" t="s">
        <v>1401</v>
      </c>
      <c r="J578" s="129">
        <v>4480</v>
      </c>
      <c r="K578" s="39" t="s">
        <v>19</v>
      </c>
    </row>
    <row r="579" ht="41" customHeight="1" spans="1:11">
      <c r="A579" s="114"/>
      <c r="B579" s="112">
        <v>13310000290001</v>
      </c>
      <c r="C579" s="67" t="s">
        <v>1440</v>
      </c>
      <c r="D579" s="37"/>
      <c r="E579" s="37"/>
      <c r="F579" s="37"/>
      <c r="G579" s="37"/>
      <c r="H579" s="67" t="s">
        <v>35</v>
      </c>
      <c r="I579" s="37"/>
      <c r="J579" s="129">
        <f t="shared" ref="J579:J584" si="14">+J578*0.2</f>
        <v>896</v>
      </c>
      <c r="K579" s="39" t="s">
        <v>19</v>
      </c>
    </row>
    <row r="580" ht="41" customHeight="1" spans="1:11">
      <c r="A580" s="115"/>
      <c r="B580" s="112">
        <v>13310000290011</v>
      </c>
      <c r="C580" s="67" t="s">
        <v>1441</v>
      </c>
      <c r="D580" s="37"/>
      <c r="E580" s="37"/>
      <c r="F580" s="37"/>
      <c r="G580" s="37"/>
      <c r="H580" s="67" t="s">
        <v>35</v>
      </c>
      <c r="I580" s="67" t="s">
        <v>1401</v>
      </c>
      <c r="J580" s="129">
        <f>+J578*0.38</f>
        <v>1702.4</v>
      </c>
      <c r="K580" s="39" t="s">
        <v>19</v>
      </c>
    </row>
    <row r="581" ht="41" customHeight="1" spans="1:11">
      <c r="A581" s="111">
        <v>58</v>
      </c>
      <c r="B581" s="112">
        <v>13310000300000</v>
      </c>
      <c r="C581" s="67" t="s">
        <v>1442</v>
      </c>
      <c r="D581" s="67" t="s">
        <v>1443</v>
      </c>
      <c r="E581" s="67" t="s">
        <v>1444</v>
      </c>
      <c r="F581" s="37"/>
      <c r="G581" s="37"/>
      <c r="H581" s="67" t="s">
        <v>35</v>
      </c>
      <c r="I581" s="67" t="s">
        <v>1445</v>
      </c>
      <c r="J581" s="129">
        <v>3236</v>
      </c>
      <c r="K581" s="39" t="s">
        <v>40</v>
      </c>
    </row>
    <row r="582" ht="41" customHeight="1" spans="1:11">
      <c r="A582" s="115"/>
      <c r="B582" s="112">
        <v>13310000300001</v>
      </c>
      <c r="C582" s="67" t="s">
        <v>1446</v>
      </c>
      <c r="D582" s="37"/>
      <c r="E582" s="37"/>
      <c r="F582" s="37"/>
      <c r="G582" s="37"/>
      <c r="H582" s="67" t="s">
        <v>35</v>
      </c>
      <c r="I582" s="37"/>
      <c r="J582" s="129">
        <f t="shared" si="14"/>
        <v>647.2</v>
      </c>
      <c r="K582" s="39" t="s">
        <v>40</v>
      </c>
    </row>
    <row r="583" ht="41" customHeight="1" spans="1:11">
      <c r="A583" s="111">
        <v>59</v>
      </c>
      <c r="B583" s="112">
        <v>13310000310000</v>
      </c>
      <c r="C583" s="67" t="s">
        <v>1447</v>
      </c>
      <c r="D583" s="67" t="s">
        <v>1448</v>
      </c>
      <c r="E583" s="67" t="s">
        <v>1449</v>
      </c>
      <c r="F583" s="37"/>
      <c r="G583" s="37"/>
      <c r="H583" s="67" t="s">
        <v>35</v>
      </c>
      <c r="I583" s="37"/>
      <c r="J583" s="129">
        <v>1814</v>
      </c>
      <c r="K583" s="39" t="s">
        <v>19</v>
      </c>
    </row>
    <row r="584" ht="41" customHeight="1" spans="1:11">
      <c r="A584" s="115"/>
      <c r="B584" s="112">
        <v>13310000310001</v>
      </c>
      <c r="C584" s="67" t="s">
        <v>1450</v>
      </c>
      <c r="D584" s="37"/>
      <c r="E584" s="37"/>
      <c r="F584" s="37"/>
      <c r="G584" s="37"/>
      <c r="H584" s="67" t="s">
        <v>35</v>
      </c>
      <c r="I584" s="37"/>
      <c r="J584" s="129">
        <f t="shared" si="14"/>
        <v>362.8</v>
      </c>
      <c r="K584" s="39" t="s">
        <v>19</v>
      </c>
    </row>
    <row r="585" ht="41" customHeight="1" spans="1:11">
      <c r="A585" s="111">
        <v>60</v>
      </c>
      <c r="B585" s="112">
        <v>13310000320000</v>
      </c>
      <c r="C585" s="67" t="s">
        <v>1451</v>
      </c>
      <c r="D585" s="67" t="s">
        <v>1452</v>
      </c>
      <c r="E585" s="67" t="s">
        <v>1453</v>
      </c>
      <c r="F585" s="37"/>
      <c r="G585" s="37"/>
      <c r="H585" s="67" t="s">
        <v>35</v>
      </c>
      <c r="I585" s="37"/>
      <c r="J585" s="129">
        <v>1824</v>
      </c>
      <c r="K585" s="39" t="s">
        <v>19</v>
      </c>
    </row>
    <row r="586" ht="41" customHeight="1" spans="1:11">
      <c r="A586" s="115"/>
      <c r="B586" s="112">
        <v>13310000320001</v>
      </c>
      <c r="C586" s="67" t="s">
        <v>1454</v>
      </c>
      <c r="D586" s="37"/>
      <c r="E586" s="37"/>
      <c r="F586" s="37"/>
      <c r="G586" s="37"/>
      <c r="H586" s="67" t="s">
        <v>35</v>
      </c>
      <c r="I586" s="37"/>
      <c r="J586" s="129">
        <f t="shared" ref="J586:J591" si="15">+J585*0.2</f>
        <v>364.8</v>
      </c>
      <c r="K586" s="39" t="s">
        <v>19</v>
      </c>
    </row>
    <row r="587" ht="41" customHeight="1" spans="1:11">
      <c r="A587" s="111">
        <v>61</v>
      </c>
      <c r="B587" s="112">
        <v>13310000330000</v>
      </c>
      <c r="C587" s="67" t="s">
        <v>1455</v>
      </c>
      <c r="D587" s="67" t="s">
        <v>1456</v>
      </c>
      <c r="E587" s="67" t="s">
        <v>1457</v>
      </c>
      <c r="F587" s="67" t="s">
        <v>1420</v>
      </c>
      <c r="G587" s="37"/>
      <c r="H587" s="67" t="s">
        <v>35</v>
      </c>
      <c r="I587" s="67" t="s">
        <v>1421</v>
      </c>
      <c r="J587" s="129">
        <v>1683</v>
      </c>
      <c r="K587" s="39" t="s">
        <v>19</v>
      </c>
    </row>
    <row r="588" ht="41" customHeight="1" spans="1:11">
      <c r="A588" s="114"/>
      <c r="B588" s="112">
        <v>13310000330001</v>
      </c>
      <c r="C588" s="67" t="s">
        <v>1458</v>
      </c>
      <c r="D588" s="37"/>
      <c r="E588" s="37"/>
      <c r="F588" s="37"/>
      <c r="G588" s="37"/>
      <c r="H588" s="67" t="s">
        <v>35</v>
      </c>
      <c r="I588" s="37"/>
      <c r="J588" s="129">
        <f t="shared" si="15"/>
        <v>336.6</v>
      </c>
      <c r="K588" s="39" t="s">
        <v>19</v>
      </c>
    </row>
    <row r="589" ht="41" customHeight="1" spans="1:11">
      <c r="A589" s="115"/>
      <c r="B589" s="112">
        <v>13310000330011</v>
      </c>
      <c r="C589" s="67" t="s">
        <v>1459</v>
      </c>
      <c r="D589" s="37"/>
      <c r="E589" s="37"/>
      <c r="F589" s="37"/>
      <c r="G589" s="37"/>
      <c r="H589" s="67" t="s">
        <v>35</v>
      </c>
      <c r="I589" s="37"/>
      <c r="J589" s="129">
        <f>+J587*0.36</f>
        <v>605.88</v>
      </c>
      <c r="K589" s="39" t="s">
        <v>19</v>
      </c>
    </row>
    <row r="590" ht="41" customHeight="1" spans="1:11">
      <c r="A590" s="111">
        <v>62</v>
      </c>
      <c r="B590" s="112">
        <v>13310000340000</v>
      </c>
      <c r="C590" s="67" t="s">
        <v>1460</v>
      </c>
      <c r="D590" s="67" t="s">
        <v>1461</v>
      </c>
      <c r="E590" s="67" t="s">
        <v>1462</v>
      </c>
      <c r="F590" s="37"/>
      <c r="G590" s="37"/>
      <c r="H590" s="67" t="s">
        <v>35</v>
      </c>
      <c r="I590" s="37"/>
      <c r="J590" s="129">
        <v>1559</v>
      </c>
      <c r="K590" s="39" t="s">
        <v>19</v>
      </c>
    </row>
    <row r="591" ht="41" customHeight="1" spans="1:11">
      <c r="A591" s="115"/>
      <c r="B591" s="112">
        <v>13310000340001</v>
      </c>
      <c r="C591" s="67" t="s">
        <v>1463</v>
      </c>
      <c r="D591" s="37"/>
      <c r="E591" s="37"/>
      <c r="F591" s="37"/>
      <c r="G591" s="37"/>
      <c r="H591" s="67" t="s">
        <v>35</v>
      </c>
      <c r="I591" s="37"/>
      <c r="J591" s="129">
        <f t="shared" si="15"/>
        <v>311.8</v>
      </c>
      <c r="K591" s="39" t="s">
        <v>19</v>
      </c>
    </row>
    <row r="592" ht="41" customHeight="1" spans="1:11">
      <c r="A592" s="111">
        <v>63</v>
      </c>
      <c r="B592" s="112">
        <v>13310000350000</v>
      </c>
      <c r="C592" s="67" t="s">
        <v>1464</v>
      </c>
      <c r="D592" s="67" t="s">
        <v>1465</v>
      </c>
      <c r="E592" s="67" t="s">
        <v>1466</v>
      </c>
      <c r="F592" s="37"/>
      <c r="G592" s="37"/>
      <c r="H592" s="67" t="s">
        <v>35</v>
      </c>
      <c r="I592" s="67" t="s">
        <v>1467</v>
      </c>
      <c r="J592" s="129">
        <v>1650</v>
      </c>
      <c r="K592" s="39" t="s">
        <v>19</v>
      </c>
    </row>
    <row r="593" ht="41" customHeight="1" spans="1:11">
      <c r="A593" s="115"/>
      <c r="B593" s="112">
        <v>13310000350001</v>
      </c>
      <c r="C593" s="67" t="s">
        <v>1468</v>
      </c>
      <c r="D593" s="37"/>
      <c r="E593" s="37"/>
      <c r="F593" s="37"/>
      <c r="G593" s="37"/>
      <c r="H593" s="67" t="s">
        <v>35</v>
      </c>
      <c r="I593" s="37"/>
      <c r="J593" s="129">
        <f>+J592*0.2</f>
        <v>330</v>
      </c>
      <c r="K593" s="39" t="s">
        <v>19</v>
      </c>
    </row>
    <row r="594" ht="41" customHeight="1" spans="1:11">
      <c r="A594" s="111">
        <v>64</v>
      </c>
      <c r="B594" s="112">
        <v>13310000360000</v>
      </c>
      <c r="C594" s="67" t="s">
        <v>1469</v>
      </c>
      <c r="D594" s="67" t="s">
        <v>1470</v>
      </c>
      <c r="E594" s="67" t="s">
        <v>1466</v>
      </c>
      <c r="F594" s="37"/>
      <c r="G594" s="37"/>
      <c r="H594" s="67" t="s">
        <v>35</v>
      </c>
      <c r="I594" s="67" t="s">
        <v>1471</v>
      </c>
      <c r="J594" s="129">
        <v>2772</v>
      </c>
      <c r="K594" s="39" t="s">
        <v>19</v>
      </c>
    </row>
    <row r="595" ht="41" customHeight="1" spans="1:11">
      <c r="A595" s="115"/>
      <c r="B595" s="112">
        <v>13310000360001</v>
      </c>
      <c r="C595" s="67" t="s">
        <v>1472</v>
      </c>
      <c r="D595" s="37"/>
      <c r="E595" s="37"/>
      <c r="F595" s="37"/>
      <c r="G595" s="37"/>
      <c r="H595" s="67" t="s">
        <v>35</v>
      </c>
      <c r="I595" s="37"/>
      <c r="J595" s="129">
        <f>+J594*0.2</f>
        <v>554.4</v>
      </c>
      <c r="K595" s="39" t="s">
        <v>19</v>
      </c>
    </row>
    <row r="596" ht="41" customHeight="1" spans="1:11">
      <c r="A596" s="111">
        <v>65</v>
      </c>
      <c r="B596" s="112">
        <v>13310000370000</v>
      </c>
      <c r="C596" s="67" t="s">
        <v>1473</v>
      </c>
      <c r="D596" s="67" t="s">
        <v>1474</v>
      </c>
      <c r="E596" s="67" t="s">
        <v>1426</v>
      </c>
      <c r="F596" s="67" t="s">
        <v>1475</v>
      </c>
      <c r="G596" s="37"/>
      <c r="H596" s="67" t="s">
        <v>35</v>
      </c>
      <c r="I596" s="37"/>
      <c r="J596" s="129">
        <v>2526</v>
      </c>
      <c r="K596" s="39" t="s">
        <v>19</v>
      </c>
    </row>
    <row r="597" ht="41" customHeight="1" spans="1:11">
      <c r="A597" s="114"/>
      <c r="B597" s="112">
        <v>13310000370011</v>
      </c>
      <c r="C597" s="67" t="s">
        <v>1476</v>
      </c>
      <c r="D597" s="37"/>
      <c r="E597" s="37"/>
      <c r="F597" s="37"/>
      <c r="G597" s="37"/>
      <c r="H597" s="67" t="s">
        <v>35</v>
      </c>
      <c r="I597" s="37"/>
      <c r="J597" s="129">
        <f>+J596*0.24</f>
        <v>606.24</v>
      </c>
      <c r="K597" s="39" t="s">
        <v>19</v>
      </c>
    </row>
    <row r="598" ht="41" customHeight="1" spans="1:11">
      <c r="A598" s="114"/>
      <c r="B598" s="112">
        <v>13310000370021</v>
      </c>
      <c r="C598" s="67" t="s">
        <v>1477</v>
      </c>
      <c r="D598" s="37"/>
      <c r="E598" s="37"/>
      <c r="F598" s="37"/>
      <c r="G598" s="37"/>
      <c r="H598" s="67" t="s">
        <v>35</v>
      </c>
      <c r="I598" s="37"/>
      <c r="J598" s="129">
        <f>+J596*0.5</f>
        <v>1263</v>
      </c>
      <c r="K598" s="39" t="s">
        <v>19</v>
      </c>
    </row>
    <row r="599" ht="41" customHeight="1" spans="1:11">
      <c r="A599" s="115"/>
      <c r="B599" s="112">
        <v>13310000370001</v>
      </c>
      <c r="C599" s="67" t="s">
        <v>1478</v>
      </c>
      <c r="D599" s="37"/>
      <c r="E599" s="37"/>
      <c r="F599" s="37"/>
      <c r="G599" s="37"/>
      <c r="H599" s="67" t="s">
        <v>35</v>
      </c>
      <c r="I599" s="37"/>
      <c r="J599" s="129">
        <f>+J596*0.2</f>
        <v>505.2</v>
      </c>
      <c r="K599" s="39" t="s">
        <v>19</v>
      </c>
    </row>
    <row r="600" ht="41" customHeight="1" spans="1:11">
      <c r="A600" s="111">
        <v>66</v>
      </c>
      <c r="B600" s="112">
        <v>13310000380000</v>
      </c>
      <c r="C600" s="67" t="s">
        <v>1479</v>
      </c>
      <c r="D600" s="67" t="s">
        <v>1480</v>
      </c>
      <c r="E600" s="67" t="s">
        <v>1457</v>
      </c>
      <c r="F600" s="67" t="s">
        <v>1420</v>
      </c>
      <c r="G600" s="37"/>
      <c r="H600" s="67" t="s">
        <v>35</v>
      </c>
      <c r="I600" s="67" t="s">
        <v>1421</v>
      </c>
      <c r="J600" s="129">
        <v>1530</v>
      </c>
      <c r="K600" s="39" t="s">
        <v>19</v>
      </c>
    </row>
    <row r="601" ht="41" customHeight="1" spans="1:11">
      <c r="A601" s="114"/>
      <c r="B601" s="112">
        <v>13310000380011</v>
      </c>
      <c r="C601" s="67" t="s">
        <v>1481</v>
      </c>
      <c r="D601" s="37"/>
      <c r="E601" s="37"/>
      <c r="F601" s="37"/>
      <c r="G601" s="37"/>
      <c r="H601" s="67" t="s">
        <v>35</v>
      </c>
      <c r="I601" s="37"/>
      <c r="J601" s="129">
        <f>+J600*0.5</f>
        <v>765</v>
      </c>
      <c r="K601" s="39" t="s">
        <v>19</v>
      </c>
    </row>
    <row r="602" ht="41" customHeight="1" spans="1:11">
      <c r="A602" s="115"/>
      <c r="B602" s="112">
        <v>13310000380001</v>
      </c>
      <c r="C602" s="67" t="s">
        <v>1482</v>
      </c>
      <c r="D602" s="37"/>
      <c r="E602" s="37"/>
      <c r="F602" s="37"/>
      <c r="G602" s="37"/>
      <c r="H602" s="67" t="s">
        <v>35</v>
      </c>
      <c r="I602" s="37"/>
      <c r="J602" s="129">
        <f>+J600*0.2</f>
        <v>306</v>
      </c>
      <c r="K602" s="39" t="s">
        <v>19</v>
      </c>
    </row>
    <row r="603" ht="41" customHeight="1" spans="1:11">
      <c r="A603" s="111">
        <v>67</v>
      </c>
      <c r="B603" s="112">
        <v>13310000390000</v>
      </c>
      <c r="C603" s="67" t="s">
        <v>1483</v>
      </c>
      <c r="D603" s="67" t="s">
        <v>1484</v>
      </c>
      <c r="E603" s="67" t="s">
        <v>1485</v>
      </c>
      <c r="F603" s="67" t="s">
        <v>1486</v>
      </c>
      <c r="G603" s="37"/>
      <c r="H603" s="67" t="s">
        <v>35</v>
      </c>
      <c r="I603" s="37"/>
      <c r="J603" s="129">
        <v>2236</v>
      </c>
      <c r="K603" s="39" t="s">
        <v>19</v>
      </c>
    </row>
    <row r="604" ht="41" customHeight="1" spans="1:11">
      <c r="A604" s="114"/>
      <c r="B604" s="112">
        <v>13310000390011</v>
      </c>
      <c r="C604" s="67" t="s">
        <v>1487</v>
      </c>
      <c r="D604" s="37"/>
      <c r="E604" s="37"/>
      <c r="F604" s="37"/>
      <c r="G604" s="37"/>
      <c r="H604" s="67" t="s">
        <v>35</v>
      </c>
      <c r="I604" s="37"/>
      <c r="J604" s="129">
        <f>+J603*0.5</f>
        <v>1118</v>
      </c>
      <c r="K604" s="39" t="s">
        <v>19</v>
      </c>
    </row>
    <row r="605" ht="41" customHeight="1" spans="1:11">
      <c r="A605" s="114"/>
      <c r="B605" s="112">
        <v>13310000390021</v>
      </c>
      <c r="C605" s="67" t="s">
        <v>1488</v>
      </c>
      <c r="D605" s="37"/>
      <c r="E605" s="37"/>
      <c r="F605" s="37"/>
      <c r="G605" s="37"/>
      <c r="H605" s="67" t="s">
        <v>35</v>
      </c>
      <c r="I605" s="37"/>
      <c r="J605" s="129">
        <f>+J603*0.5</f>
        <v>1118</v>
      </c>
      <c r="K605" s="39" t="s">
        <v>19</v>
      </c>
    </row>
    <row r="606" ht="41" customHeight="1" spans="1:11">
      <c r="A606" s="115"/>
      <c r="B606" s="112">
        <v>13310000390001</v>
      </c>
      <c r="C606" s="67" t="s">
        <v>1489</v>
      </c>
      <c r="D606" s="37"/>
      <c r="E606" s="37"/>
      <c r="F606" s="37"/>
      <c r="G606" s="37"/>
      <c r="H606" s="67" t="s">
        <v>35</v>
      </c>
      <c r="I606" s="37"/>
      <c r="J606" s="129">
        <f>+J603*0.2</f>
        <v>447.2</v>
      </c>
      <c r="K606" s="39" t="s">
        <v>19</v>
      </c>
    </row>
    <row r="607" ht="41" customHeight="1" spans="1:11">
      <c r="A607" s="111">
        <v>68</v>
      </c>
      <c r="B607" s="112">
        <v>13310000400000</v>
      </c>
      <c r="C607" s="67" t="s">
        <v>1490</v>
      </c>
      <c r="D607" s="67" t="s">
        <v>1491</v>
      </c>
      <c r="E607" s="67" t="s">
        <v>1426</v>
      </c>
      <c r="F607" s="37"/>
      <c r="G607" s="37"/>
      <c r="H607" s="67" t="s">
        <v>35</v>
      </c>
      <c r="I607" s="37"/>
      <c r="J607" s="129">
        <v>1680</v>
      </c>
      <c r="K607" s="39" t="s">
        <v>40</v>
      </c>
    </row>
    <row r="608" ht="41" customHeight="1" spans="1:11">
      <c r="A608" s="115"/>
      <c r="B608" s="112">
        <v>13310000400001</v>
      </c>
      <c r="C608" s="67" t="s">
        <v>1492</v>
      </c>
      <c r="D608" s="37"/>
      <c r="E608" s="37"/>
      <c r="F608" s="37"/>
      <c r="G608" s="37"/>
      <c r="H608" s="67" t="s">
        <v>35</v>
      </c>
      <c r="I608" s="37"/>
      <c r="J608" s="129">
        <f t="shared" ref="J608:J612" si="16">+J607*0.2</f>
        <v>336</v>
      </c>
      <c r="K608" s="39" t="s">
        <v>40</v>
      </c>
    </row>
    <row r="609" ht="41" customHeight="1" spans="1:11">
      <c r="A609" s="111">
        <v>69</v>
      </c>
      <c r="B609" s="112">
        <v>13310000410000</v>
      </c>
      <c r="C609" s="67" t="s">
        <v>1493</v>
      </c>
      <c r="D609" s="67" t="s">
        <v>1494</v>
      </c>
      <c r="E609" s="67" t="s">
        <v>1495</v>
      </c>
      <c r="F609" s="37"/>
      <c r="G609" s="37"/>
      <c r="H609" s="67" t="s">
        <v>35</v>
      </c>
      <c r="I609" s="67" t="s">
        <v>1496</v>
      </c>
      <c r="J609" s="129">
        <v>2123</v>
      </c>
      <c r="K609" s="39" t="s">
        <v>19</v>
      </c>
    </row>
    <row r="610" ht="41" customHeight="1" spans="1:11">
      <c r="A610" s="115"/>
      <c r="B610" s="112">
        <v>13310000410001</v>
      </c>
      <c r="C610" s="67" t="s">
        <v>1497</v>
      </c>
      <c r="D610" s="37"/>
      <c r="E610" s="37"/>
      <c r="F610" s="37"/>
      <c r="G610" s="37"/>
      <c r="H610" s="67" t="s">
        <v>35</v>
      </c>
      <c r="I610" s="37"/>
      <c r="J610" s="129">
        <f t="shared" si="16"/>
        <v>424.6</v>
      </c>
      <c r="K610" s="39" t="s">
        <v>19</v>
      </c>
    </row>
    <row r="611" ht="41" customHeight="1" spans="1:11">
      <c r="A611" s="111">
        <v>70</v>
      </c>
      <c r="B611" s="112">
        <v>13310000420000</v>
      </c>
      <c r="C611" s="67" t="s">
        <v>1498</v>
      </c>
      <c r="D611" s="67" t="s">
        <v>1499</v>
      </c>
      <c r="E611" s="67" t="s">
        <v>1495</v>
      </c>
      <c r="F611" s="37"/>
      <c r="G611" s="37"/>
      <c r="H611" s="67" t="s">
        <v>35</v>
      </c>
      <c r="I611" s="67" t="s">
        <v>1500</v>
      </c>
      <c r="J611" s="129">
        <v>2453</v>
      </c>
      <c r="K611" s="39" t="s">
        <v>19</v>
      </c>
    </row>
    <row r="612" ht="41" customHeight="1" spans="1:11">
      <c r="A612" s="115"/>
      <c r="B612" s="112">
        <v>13310000420001</v>
      </c>
      <c r="C612" s="67" t="s">
        <v>1501</v>
      </c>
      <c r="D612" s="37"/>
      <c r="E612" s="37"/>
      <c r="F612" s="37"/>
      <c r="G612" s="37"/>
      <c r="H612" s="67" t="s">
        <v>35</v>
      </c>
      <c r="I612" s="37"/>
      <c r="J612" s="129">
        <f t="shared" si="16"/>
        <v>490.6</v>
      </c>
      <c r="K612" s="39" t="s">
        <v>19</v>
      </c>
    </row>
    <row r="613" ht="41" customHeight="1" spans="1:11">
      <c r="A613" s="111">
        <v>71</v>
      </c>
      <c r="B613" s="112">
        <v>13310000430000</v>
      </c>
      <c r="C613" s="67" t="s">
        <v>1502</v>
      </c>
      <c r="D613" s="67" t="s">
        <v>1503</v>
      </c>
      <c r="E613" s="67" t="s">
        <v>1504</v>
      </c>
      <c r="F613" s="67" t="s">
        <v>1505</v>
      </c>
      <c r="G613" s="67" t="s">
        <v>1506</v>
      </c>
      <c r="H613" s="67" t="s">
        <v>35</v>
      </c>
      <c r="I613" s="67" t="s">
        <v>1507</v>
      </c>
      <c r="J613" s="129">
        <v>2324</v>
      </c>
      <c r="K613" s="39" t="s">
        <v>19</v>
      </c>
    </row>
    <row r="614" ht="41" customHeight="1" spans="1:11">
      <c r="A614" s="114"/>
      <c r="B614" s="112">
        <v>13310000430001</v>
      </c>
      <c r="C614" s="67" t="s">
        <v>1508</v>
      </c>
      <c r="D614" s="37"/>
      <c r="E614" s="37"/>
      <c r="F614" s="37"/>
      <c r="G614" s="37"/>
      <c r="H614" s="67" t="s">
        <v>35</v>
      </c>
      <c r="I614" s="37"/>
      <c r="J614" s="129">
        <f>+J613*0.2</f>
        <v>464.8</v>
      </c>
      <c r="K614" s="39" t="s">
        <v>19</v>
      </c>
    </row>
    <row r="615" ht="41" customHeight="1" spans="1:11">
      <c r="A615" s="114"/>
      <c r="B615" s="112">
        <v>13310000430011</v>
      </c>
      <c r="C615" s="67" t="s">
        <v>1509</v>
      </c>
      <c r="D615" s="37"/>
      <c r="E615" s="37"/>
      <c r="F615" s="37"/>
      <c r="G615" s="37"/>
      <c r="H615" s="67" t="s">
        <v>35</v>
      </c>
      <c r="I615" s="37"/>
      <c r="J615" s="129">
        <f>+J613*0.3</f>
        <v>697.2</v>
      </c>
      <c r="K615" s="39" t="s">
        <v>19</v>
      </c>
    </row>
    <row r="616" ht="41" customHeight="1" spans="1:11">
      <c r="A616" s="115"/>
      <c r="B616" s="112">
        <v>13310000430100</v>
      </c>
      <c r="C616" s="67" t="s">
        <v>1510</v>
      </c>
      <c r="D616" s="37"/>
      <c r="E616" s="37"/>
      <c r="F616" s="37"/>
      <c r="G616" s="37"/>
      <c r="H616" s="67" t="s">
        <v>35</v>
      </c>
      <c r="I616" s="37"/>
      <c r="J616" s="129">
        <v>2324</v>
      </c>
      <c r="K616" s="39" t="s">
        <v>19</v>
      </c>
    </row>
    <row r="617" ht="41" customHeight="1" spans="1:11">
      <c r="A617" s="111">
        <v>72</v>
      </c>
      <c r="B617" s="112">
        <v>13310000440000</v>
      </c>
      <c r="C617" s="67" t="s">
        <v>1511</v>
      </c>
      <c r="D617" s="67" t="s">
        <v>1512</v>
      </c>
      <c r="E617" s="67" t="s">
        <v>1513</v>
      </c>
      <c r="F617" s="37"/>
      <c r="G617" s="37"/>
      <c r="H617" s="67" t="s">
        <v>35</v>
      </c>
      <c r="I617" s="67" t="s">
        <v>1514</v>
      </c>
      <c r="J617" s="129">
        <v>1210</v>
      </c>
      <c r="K617" s="39" t="s">
        <v>19</v>
      </c>
    </row>
    <row r="618" ht="41" customHeight="1" spans="1:11">
      <c r="A618" s="115"/>
      <c r="B618" s="112">
        <v>13310000440001</v>
      </c>
      <c r="C618" s="67" t="s">
        <v>1515</v>
      </c>
      <c r="D618" s="37"/>
      <c r="E618" s="37"/>
      <c r="F618" s="37"/>
      <c r="G618" s="37"/>
      <c r="H618" s="67" t="s">
        <v>35</v>
      </c>
      <c r="I618" s="37"/>
      <c r="J618" s="129">
        <f t="shared" ref="J618:J623" si="17">+J617*0.2</f>
        <v>242</v>
      </c>
      <c r="K618" s="39" t="s">
        <v>19</v>
      </c>
    </row>
    <row r="619" ht="41" customHeight="1" spans="1:11">
      <c r="A619" s="111">
        <v>73</v>
      </c>
      <c r="B619" s="112">
        <v>13310000450000</v>
      </c>
      <c r="C619" s="67" t="s">
        <v>1516</v>
      </c>
      <c r="D619" s="67" t="s">
        <v>1517</v>
      </c>
      <c r="E619" s="67" t="s">
        <v>1518</v>
      </c>
      <c r="F619" s="67" t="s">
        <v>1519</v>
      </c>
      <c r="G619" s="37"/>
      <c r="H619" s="67" t="s">
        <v>35</v>
      </c>
      <c r="I619" s="37"/>
      <c r="J619" s="129">
        <v>1481</v>
      </c>
      <c r="K619" s="39" t="s">
        <v>19</v>
      </c>
    </row>
    <row r="620" ht="41" customHeight="1" spans="1:11">
      <c r="A620" s="114"/>
      <c r="B620" s="112">
        <v>13310000450001</v>
      </c>
      <c r="C620" s="67" t="s">
        <v>1520</v>
      </c>
      <c r="D620" s="37"/>
      <c r="E620" s="37"/>
      <c r="F620" s="37"/>
      <c r="G620" s="37"/>
      <c r="H620" s="67" t="s">
        <v>35</v>
      </c>
      <c r="I620" s="37"/>
      <c r="J620" s="129">
        <f t="shared" si="17"/>
        <v>296.2</v>
      </c>
      <c r="K620" s="39" t="s">
        <v>19</v>
      </c>
    </row>
    <row r="621" ht="41" customHeight="1" spans="1:11">
      <c r="A621" s="115"/>
      <c r="B621" s="112">
        <v>13310000450011</v>
      </c>
      <c r="C621" s="67" t="s">
        <v>1521</v>
      </c>
      <c r="D621" s="37"/>
      <c r="E621" s="37"/>
      <c r="F621" s="37"/>
      <c r="G621" s="37"/>
      <c r="H621" s="67" t="s">
        <v>35</v>
      </c>
      <c r="I621" s="37"/>
      <c r="J621" s="129">
        <f>+J619*0.33</f>
        <v>488.73</v>
      </c>
      <c r="K621" s="39" t="s">
        <v>19</v>
      </c>
    </row>
    <row r="622" ht="41" customHeight="1" spans="1:11">
      <c r="A622" s="111">
        <v>74</v>
      </c>
      <c r="B622" s="112">
        <v>13310000460000</v>
      </c>
      <c r="C622" s="67" t="s">
        <v>1522</v>
      </c>
      <c r="D622" s="67" t="s">
        <v>1523</v>
      </c>
      <c r="E622" s="67" t="s">
        <v>1524</v>
      </c>
      <c r="F622" s="67" t="s">
        <v>1525</v>
      </c>
      <c r="G622" s="37"/>
      <c r="H622" s="67" t="s">
        <v>35</v>
      </c>
      <c r="I622" s="67" t="s">
        <v>1401</v>
      </c>
      <c r="J622" s="129">
        <v>2589</v>
      </c>
      <c r="K622" s="39" t="s">
        <v>19</v>
      </c>
    </row>
    <row r="623" ht="41" customHeight="1" spans="1:11">
      <c r="A623" s="114"/>
      <c r="B623" s="112">
        <v>13310000460001</v>
      </c>
      <c r="C623" s="67" t="s">
        <v>1526</v>
      </c>
      <c r="D623" s="37"/>
      <c r="E623" s="37"/>
      <c r="F623" s="37"/>
      <c r="G623" s="37"/>
      <c r="H623" s="67" t="s">
        <v>35</v>
      </c>
      <c r="I623" s="37"/>
      <c r="J623" s="129">
        <f t="shared" si="17"/>
        <v>517.8</v>
      </c>
      <c r="K623" s="39" t="s">
        <v>19</v>
      </c>
    </row>
    <row r="624" ht="41" customHeight="1" spans="1:11">
      <c r="A624" s="114"/>
      <c r="B624" s="112">
        <v>13310000460011</v>
      </c>
      <c r="C624" s="67" t="s">
        <v>1527</v>
      </c>
      <c r="D624" s="37"/>
      <c r="E624" s="37"/>
      <c r="F624" s="37"/>
      <c r="G624" s="37"/>
      <c r="H624" s="67" t="s">
        <v>35</v>
      </c>
      <c r="I624" s="37"/>
      <c r="J624" s="129">
        <f>+J622*0.3</f>
        <v>776.7</v>
      </c>
      <c r="K624" s="39" t="s">
        <v>19</v>
      </c>
    </row>
    <row r="625" ht="41" customHeight="1" spans="1:11">
      <c r="A625" s="114"/>
      <c r="B625" s="112">
        <v>13310000460012</v>
      </c>
      <c r="C625" s="67" t="s">
        <v>1528</v>
      </c>
      <c r="D625" s="37"/>
      <c r="E625" s="37"/>
      <c r="F625" s="37"/>
      <c r="G625" s="37"/>
      <c r="H625" s="67" t="s">
        <v>35</v>
      </c>
      <c r="I625" s="67" t="s">
        <v>1401</v>
      </c>
      <c r="J625" s="129">
        <f>+J622*0.52</f>
        <v>1346.28</v>
      </c>
      <c r="K625" s="39" t="s">
        <v>19</v>
      </c>
    </row>
    <row r="626" ht="41" customHeight="1" spans="1:11">
      <c r="A626" s="115"/>
      <c r="B626" s="112">
        <v>13310000460021</v>
      </c>
      <c r="C626" s="67" t="s">
        <v>1529</v>
      </c>
      <c r="D626" s="37"/>
      <c r="E626" s="37"/>
      <c r="F626" s="37"/>
      <c r="G626" s="37"/>
      <c r="H626" s="67" t="s">
        <v>35</v>
      </c>
      <c r="I626" s="37"/>
      <c r="J626" s="129">
        <f>+J622*0.5</f>
        <v>1294.5</v>
      </c>
      <c r="K626" s="39" t="s">
        <v>19</v>
      </c>
    </row>
    <row r="627" ht="41" customHeight="1" spans="1:11">
      <c r="A627" s="111">
        <v>75</v>
      </c>
      <c r="B627" s="112">
        <v>13310000470000</v>
      </c>
      <c r="C627" s="67" t="s">
        <v>1530</v>
      </c>
      <c r="D627" s="67" t="s">
        <v>1531</v>
      </c>
      <c r="E627" s="67" t="s">
        <v>1524</v>
      </c>
      <c r="F627" s="67" t="s">
        <v>1439</v>
      </c>
      <c r="G627" s="37"/>
      <c r="H627" s="67" t="s">
        <v>35</v>
      </c>
      <c r="I627" s="67" t="s">
        <v>1401</v>
      </c>
      <c r="J627" s="129">
        <v>4758</v>
      </c>
      <c r="K627" s="39" t="s">
        <v>19</v>
      </c>
    </row>
    <row r="628" ht="41" customHeight="1" spans="1:11">
      <c r="A628" s="114"/>
      <c r="B628" s="112">
        <v>13310000470001</v>
      </c>
      <c r="C628" s="67" t="s">
        <v>1532</v>
      </c>
      <c r="D628" s="37"/>
      <c r="E628" s="37"/>
      <c r="F628" s="37"/>
      <c r="G628" s="37"/>
      <c r="H628" s="67" t="s">
        <v>35</v>
      </c>
      <c r="I628" s="37"/>
      <c r="J628" s="129">
        <f t="shared" ref="J628:J633" si="18">+J627*0.2</f>
        <v>951.6</v>
      </c>
      <c r="K628" s="39" t="s">
        <v>19</v>
      </c>
    </row>
    <row r="629" ht="41" customHeight="1" spans="1:11">
      <c r="A629" s="115"/>
      <c r="B629" s="112">
        <v>13310000470011</v>
      </c>
      <c r="C629" s="67" t="s">
        <v>1533</v>
      </c>
      <c r="D629" s="37"/>
      <c r="E629" s="37"/>
      <c r="F629" s="37"/>
      <c r="G629" s="37"/>
      <c r="H629" s="67" t="s">
        <v>35</v>
      </c>
      <c r="I629" s="67" t="s">
        <v>1401</v>
      </c>
      <c r="J629" s="129">
        <f>+J627*0.42</f>
        <v>1998.36</v>
      </c>
      <c r="K629" s="39" t="s">
        <v>19</v>
      </c>
    </row>
    <row r="630" ht="41" customHeight="1" spans="1:11">
      <c r="A630" s="111">
        <v>76</v>
      </c>
      <c r="B630" s="112">
        <v>13310000480000</v>
      </c>
      <c r="C630" s="67" t="s">
        <v>1534</v>
      </c>
      <c r="D630" s="67" t="s">
        <v>1535</v>
      </c>
      <c r="E630" s="67" t="s">
        <v>1536</v>
      </c>
      <c r="F630" s="37"/>
      <c r="G630" s="37"/>
      <c r="H630" s="67" t="s">
        <v>35</v>
      </c>
      <c r="I630" s="37"/>
      <c r="J630" s="129">
        <v>2086</v>
      </c>
      <c r="K630" s="39" t="s">
        <v>19</v>
      </c>
    </row>
    <row r="631" ht="41" customHeight="1" spans="1:11">
      <c r="A631" s="115"/>
      <c r="B631" s="112">
        <v>13310000480001</v>
      </c>
      <c r="C631" s="67" t="s">
        <v>1537</v>
      </c>
      <c r="D631" s="37"/>
      <c r="E631" s="37"/>
      <c r="F631" s="37"/>
      <c r="G631" s="37"/>
      <c r="H631" s="67" t="s">
        <v>35</v>
      </c>
      <c r="I631" s="37"/>
      <c r="J631" s="129">
        <f t="shared" si="18"/>
        <v>417.2</v>
      </c>
      <c r="K631" s="39" t="s">
        <v>19</v>
      </c>
    </row>
    <row r="632" ht="41" customHeight="1" spans="1:11">
      <c r="A632" s="111">
        <v>77</v>
      </c>
      <c r="B632" s="112">
        <v>13310000490000</v>
      </c>
      <c r="C632" s="67" t="s">
        <v>1538</v>
      </c>
      <c r="D632" s="67" t="s">
        <v>1539</v>
      </c>
      <c r="E632" s="67" t="s">
        <v>1540</v>
      </c>
      <c r="F632" s="37"/>
      <c r="G632" s="67" t="s">
        <v>1541</v>
      </c>
      <c r="H632" s="67" t="s">
        <v>35</v>
      </c>
      <c r="I632" s="37"/>
      <c r="J632" s="129">
        <v>1903</v>
      </c>
      <c r="K632" s="39" t="s">
        <v>19</v>
      </c>
    </row>
    <row r="633" ht="41" customHeight="1" spans="1:11">
      <c r="A633" s="114"/>
      <c r="B633" s="112">
        <v>13310000490001</v>
      </c>
      <c r="C633" s="67" t="s">
        <v>1542</v>
      </c>
      <c r="D633" s="37"/>
      <c r="E633" s="37"/>
      <c r="F633" s="37"/>
      <c r="G633" s="37"/>
      <c r="H633" s="67" t="s">
        <v>35</v>
      </c>
      <c r="I633" s="37"/>
      <c r="J633" s="129">
        <f t="shared" si="18"/>
        <v>380.6</v>
      </c>
      <c r="K633" s="39" t="s">
        <v>19</v>
      </c>
    </row>
    <row r="634" ht="41" customHeight="1" spans="1:11">
      <c r="A634" s="115"/>
      <c r="B634" s="112">
        <v>13310000490100</v>
      </c>
      <c r="C634" s="67" t="s">
        <v>1543</v>
      </c>
      <c r="D634" s="37"/>
      <c r="E634" s="37"/>
      <c r="F634" s="37"/>
      <c r="G634" s="37"/>
      <c r="H634" s="67" t="s">
        <v>35</v>
      </c>
      <c r="I634" s="37"/>
      <c r="J634" s="129">
        <v>1903</v>
      </c>
      <c r="K634" s="39" t="s">
        <v>19</v>
      </c>
    </row>
    <row r="635" ht="41" customHeight="1" spans="1:11">
      <c r="A635" s="111">
        <v>78</v>
      </c>
      <c r="B635" s="112">
        <v>13310000500000</v>
      </c>
      <c r="C635" s="67" t="s">
        <v>1544</v>
      </c>
      <c r="D635" s="67" t="s">
        <v>1545</v>
      </c>
      <c r="E635" s="67" t="s">
        <v>1546</v>
      </c>
      <c r="F635" s="37"/>
      <c r="G635" s="37"/>
      <c r="H635" s="67" t="s">
        <v>35</v>
      </c>
      <c r="I635" s="37"/>
      <c r="J635" s="129">
        <v>1132</v>
      </c>
      <c r="K635" s="39" t="s">
        <v>19</v>
      </c>
    </row>
    <row r="636" ht="41" customHeight="1" spans="1:11">
      <c r="A636" s="115"/>
      <c r="B636" s="112">
        <v>13310000500001</v>
      </c>
      <c r="C636" s="67" t="s">
        <v>1547</v>
      </c>
      <c r="D636" s="37"/>
      <c r="E636" s="37"/>
      <c r="F636" s="37"/>
      <c r="G636" s="37"/>
      <c r="H636" s="67" t="s">
        <v>35</v>
      </c>
      <c r="I636" s="37"/>
      <c r="J636" s="129">
        <f t="shared" ref="J636:J640" si="19">+J635*0.2</f>
        <v>226.4</v>
      </c>
      <c r="K636" s="39" t="s">
        <v>19</v>
      </c>
    </row>
    <row r="637" ht="41" customHeight="1" spans="1:11">
      <c r="A637" s="111">
        <v>79</v>
      </c>
      <c r="B637" s="112">
        <v>13310000510000</v>
      </c>
      <c r="C637" s="67" t="s">
        <v>1548</v>
      </c>
      <c r="D637" s="67" t="s">
        <v>1549</v>
      </c>
      <c r="E637" s="67" t="s">
        <v>1550</v>
      </c>
      <c r="F637" s="37"/>
      <c r="G637" s="37"/>
      <c r="H637" s="67" t="s">
        <v>35</v>
      </c>
      <c r="I637" s="37"/>
      <c r="J637" s="129">
        <v>1698</v>
      </c>
      <c r="K637" s="39" t="s">
        <v>19</v>
      </c>
    </row>
    <row r="638" ht="41" customHeight="1" spans="1:11">
      <c r="A638" s="115"/>
      <c r="B638" s="112">
        <v>13310000510001</v>
      </c>
      <c r="C638" s="67" t="s">
        <v>1551</v>
      </c>
      <c r="D638" s="37"/>
      <c r="E638" s="37"/>
      <c r="F638" s="37"/>
      <c r="G638" s="37"/>
      <c r="H638" s="67" t="s">
        <v>35</v>
      </c>
      <c r="I638" s="37"/>
      <c r="J638" s="129">
        <f t="shared" si="19"/>
        <v>339.6</v>
      </c>
      <c r="K638" s="39" t="s">
        <v>19</v>
      </c>
    </row>
    <row r="639" ht="41" customHeight="1" spans="1:11">
      <c r="A639" s="111">
        <v>80</v>
      </c>
      <c r="B639" s="112">
        <v>13310000520000</v>
      </c>
      <c r="C639" s="67" t="s">
        <v>1552</v>
      </c>
      <c r="D639" s="67" t="s">
        <v>1553</v>
      </c>
      <c r="E639" s="67" t="s">
        <v>1554</v>
      </c>
      <c r="F639" s="37"/>
      <c r="G639" s="37"/>
      <c r="H639" s="67" t="s">
        <v>35</v>
      </c>
      <c r="I639" s="37"/>
      <c r="J639" s="129">
        <v>900</v>
      </c>
      <c r="K639" s="39" t="s">
        <v>19</v>
      </c>
    </row>
    <row r="640" ht="41" customHeight="1" spans="1:11">
      <c r="A640" s="115"/>
      <c r="B640" s="112">
        <v>13310000520001</v>
      </c>
      <c r="C640" s="67" t="s">
        <v>1555</v>
      </c>
      <c r="D640" s="37"/>
      <c r="E640" s="37"/>
      <c r="F640" s="37"/>
      <c r="G640" s="37"/>
      <c r="H640" s="67" t="s">
        <v>35</v>
      </c>
      <c r="I640" s="37"/>
      <c r="J640" s="129">
        <f t="shared" si="19"/>
        <v>180</v>
      </c>
      <c r="K640" s="39" t="s">
        <v>19</v>
      </c>
    </row>
    <row r="641" ht="41" customHeight="1" spans="1:11">
      <c r="A641" s="111">
        <v>81</v>
      </c>
      <c r="B641" s="112">
        <v>13310000530000</v>
      </c>
      <c r="C641" s="67" t="s">
        <v>1556</v>
      </c>
      <c r="D641" s="67" t="s">
        <v>1557</v>
      </c>
      <c r="E641" s="67" t="s">
        <v>1554</v>
      </c>
      <c r="F641" s="67" t="s">
        <v>1558</v>
      </c>
      <c r="G641" s="37"/>
      <c r="H641" s="67" t="s">
        <v>35</v>
      </c>
      <c r="I641" s="67" t="s">
        <v>1401</v>
      </c>
      <c r="J641" s="129">
        <v>2136</v>
      </c>
      <c r="K641" s="39" t="s">
        <v>19</v>
      </c>
    </row>
    <row r="642" ht="41" customHeight="1" spans="1:11">
      <c r="A642" s="114"/>
      <c r="B642" s="112">
        <v>13310000530001</v>
      </c>
      <c r="C642" s="67" t="s">
        <v>1559</v>
      </c>
      <c r="D642" s="37"/>
      <c r="E642" s="37"/>
      <c r="F642" s="37"/>
      <c r="G642" s="37"/>
      <c r="H642" s="67" t="s">
        <v>35</v>
      </c>
      <c r="I642" s="37"/>
      <c r="J642" s="129">
        <f>+J641*0.2</f>
        <v>427.2</v>
      </c>
      <c r="K642" s="39" t="s">
        <v>19</v>
      </c>
    </row>
    <row r="643" ht="41" customHeight="1" spans="1:11">
      <c r="A643" s="114"/>
      <c r="B643" s="112">
        <v>13310000530011</v>
      </c>
      <c r="C643" s="67" t="s">
        <v>1560</v>
      </c>
      <c r="D643" s="37"/>
      <c r="E643" s="37"/>
      <c r="F643" s="37"/>
      <c r="G643" s="37"/>
      <c r="H643" s="67" t="s">
        <v>35</v>
      </c>
      <c r="I643" s="37"/>
      <c r="J643" s="129">
        <f>+J641*0.5</f>
        <v>1068</v>
      </c>
      <c r="K643" s="39" t="s">
        <v>19</v>
      </c>
    </row>
    <row r="644" ht="41" customHeight="1" spans="1:11">
      <c r="A644" s="115"/>
      <c r="B644" s="112">
        <v>13310000530012</v>
      </c>
      <c r="C644" s="67" t="s">
        <v>1561</v>
      </c>
      <c r="D644" s="37"/>
      <c r="E644" s="37"/>
      <c r="F644" s="37"/>
      <c r="G644" s="37"/>
      <c r="H644" s="67" t="s">
        <v>35</v>
      </c>
      <c r="I644" s="67" t="s">
        <v>1401</v>
      </c>
      <c r="J644" s="129">
        <f>+J641*0.66</f>
        <v>1409.76</v>
      </c>
      <c r="K644" s="39" t="s">
        <v>19</v>
      </c>
    </row>
    <row r="645" ht="41" customHeight="1" spans="1:11">
      <c r="A645" s="111">
        <v>82</v>
      </c>
      <c r="B645" s="112">
        <v>13310000540000</v>
      </c>
      <c r="C645" s="67" t="s">
        <v>1562</v>
      </c>
      <c r="D645" s="67" t="s">
        <v>1563</v>
      </c>
      <c r="E645" s="67" t="s">
        <v>1564</v>
      </c>
      <c r="F645" s="67" t="s">
        <v>1439</v>
      </c>
      <c r="G645" s="37"/>
      <c r="H645" s="67" t="s">
        <v>35</v>
      </c>
      <c r="I645" s="67" t="s">
        <v>1401</v>
      </c>
      <c r="J645" s="129">
        <v>3989</v>
      </c>
      <c r="K645" s="39" t="s">
        <v>19</v>
      </c>
    </row>
    <row r="646" ht="41" customHeight="1" spans="1:11">
      <c r="A646" s="114"/>
      <c r="B646" s="112">
        <v>13310000540001</v>
      </c>
      <c r="C646" s="67" t="s">
        <v>1565</v>
      </c>
      <c r="D646" s="37"/>
      <c r="E646" s="37"/>
      <c r="F646" s="37"/>
      <c r="G646" s="37"/>
      <c r="H646" s="67" t="s">
        <v>35</v>
      </c>
      <c r="I646" s="37"/>
      <c r="J646" s="129">
        <f>+J645*0.2</f>
        <v>797.8</v>
      </c>
      <c r="K646" s="39" t="s">
        <v>19</v>
      </c>
    </row>
    <row r="647" ht="41" customHeight="1" spans="1:11">
      <c r="A647" s="115"/>
      <c r="B647" s="112">
        <v>13310000540011</v>
      </c>
      <c r="C647" s="67" t="s">
        <v>1566</v>
      </c>
      <c r="D647" s="37"/>
      <c r="E647" s="37"/>
      <c r="F647" s="37"/>
      <c r="G647" s="37"/>
      <c r="H647" s="67" t="s">
        <v>35</v>
      </c>
      <c r="I647" s="67" t="s">
        <v>1401</v>
      </c>
      <c r="J647" s="129">
        <f>+J645*0.66</f>
        <v>2632.74</v>
      </c>
      <c r="K647" s="39" t="s">
        <v>19</v>
      </c>
    </row>
    <row r="648" ht="41" customHeight="1" spans="1:11">
      <c r="A648" s="111">
        <v>83</v>
      </c>
      <c r="B648" s="112">
        <v>13310000550000</v>
      </c>
      <c r="C648" s="67" t="s">
        <v>1567</v>
      </c>
      <c r="D648" s="67" t="s">
        <v>1568</v>
      </c>
      <c r="E648" s="67" t="s">
        <v>1569</v>
      </c>
      <c r="F648" s="67" t="s">
        <v>1570</v>
      </c>
      <c r="G648" s="37"/>
      <c r="H648" s="67" t="s">
        <v>35</v>
      </c>
      <c r="I648" s="37"/>
      <c r="J648" s="129">
        <v>4900</v>
      </c>
      <c r="K648" s="39" t="s">
        <v>19</v>
      </c>
    </row>
    <row r="649" ht="41" customHeight="1" spans="1:11">
      <c r="A649" s="114"/>
      <c r="B649" s="112">
        <v>13310000550001</v>
      </c>
      <c r="C649" s="67" t="s">
        <v>1571</v>
      </c>
      <c r="D649" s="37"/>
      <c r="E649" s="37"/>
      <c r="F649" s="37"/>
      <c r="G649" s="37"/>
      <c r="H649" s="67" t="s">
        <v>35</v>
      </c>
      <c r="I649" s="37"/>
      <c r="J649" s="129">
        <f>+J648*0.2</f>
        <v>980</v>
      </c>
      <c r="K649" s="39" t="s">
        <v>19</v>
      </c>
    </row>
    <row r="650" ht="41" customHeight="1" spans="1:11">
      <c r="A650" s="114"/>
      <c r="B650" s="112">
        <v>13310000550011</v>
      </c>
      <c r="C650" s="67" t="s">
        <v>1572</v>
      </c>
      <c r="D650" s="37"/>
      <c r="E650" s="37"/>
      <c r="F650" s="37"/>
      <c r="G650" s="37"/>
      <c r="H650" s="67" t="s">
        <v>35</v>
      </c>
      <c r="I650" s="37"/>
      <c r="J650" s="129">
        <f>+J648*0.1</f>
        <v>490</v>
      </c>
      <c r="K650" s="39" t="s">
        <v>19</v>
      </c>
    </row>
    <row r="651" ht="41" customHeight="1" spans="1:11">
      <c r="A651" s="114"/>
      <c r="B651" s="112">
        <v>13310000550012</v>
      </c>
      <c r="C651" s="67" t="s">
        <v>1573</v>
      </c>
      <c r="D651" s="37"/>
      <c r="E651" s="37"/>
      <c r="F651" s="37"/>
      <c r="G651" s="37"/>
      <c r="H651" s="67" t="s">
        <v>35</v>
      </c>
      <c r="I651" s="37"/>
      <c r="J651" s="129">
        <f>+J648*0.15</f>
        <v>735</v>
      </c>
      <c r="K651" s="39" t="s">
        <v>19</v>
      </c>
    </row>
    <row r="652" ht="41" customHeight="1" spans="1:11">
      <c r="A652" s="115"/>
      <c r="B652" s="112">
        <v>13310000550013</v>
      </c>
      <c r="C652" s="67" t="s">
        <v>1574</v>
      </c>
      <c r="D652" s="37"/>
      <c r="E652" s="37"/>
      <c r="F652" s="37"/>
      <c r="G652" s="37"/>
      <c r="H652" s="67" t="s">
        <v>35</v>
      </c>
      <c r="I652" s="37"/>
      <c r="J652" s="129">
        <f>+J648*0.2</f>
        <v>980</v>
      </c>
      <c r="K652" s="39" t="s">
        <v>19</v>
      </c>
    </row>
    <row r="653" ht="41" customHeight="1" spans="1:11">
      <c r="A653" s="111">
        <v>84</v>
      </c>
      <c r="B653" s="112">
        <v>13310000560000</v>
      </c>
      <c r="C653" s="67" t="s">
        <v>1575</v>
      </c>
      <c r="D653" s="67" t="s">
        <v>1576</v>
      </c>
      <c r="E653" s="67" t="s">
        <v>1577</v>
      </c>
      <c r="F653" s="37"/>
      <c r="G653" s="37"/>
      <c r="H653" s="67" t="s">
        <v>35</v>
      </c>
      <c r="I653" s="37"/>
      <c r="J653" s="129">
        <v>1320</v>
      </c>
      <c r="K653" s="39" t="s">
        <v>19</v>
      </c>
    </row>
    <row r="654" ht="41" customHeight="1" spans="1:11">
      <c r="A654" s="115"/>
      <c r="B654" s="112">
        <v>13310000560001</v>
      </c>
      <c r="C654" s="67" t="s">
        <v>1578</v>
      </c>
      <c r="D654" s="37"/>
      <c r="E654" s="37"/>
      <c r="F654" s="37"/>
      <c r="G654" s="37"/>
      <c r="H654" s="67" t="s">
        <v>35</v>
      </c>
      <c r="I654" s="37"/>
      <c r="J654" s="129">
        <f t="shared" ref="J654:J658" si="20">+J653*0.2</f>
        <v>264</v>
      </c>
      <c r="K654" s="39" t="s">
        <v>19</v>
      </c>
    </row>
    <row r="655" ht="41" customHeight="1" spans="1:11">
      <c r="A655" s="111">
        <v>85</v>
      </c>
      <c r="B655" s="112">
        <v>13310000570000</v>
      </c>
      <c r="C655" s="67" t="s">
        <v>1579</v>
      </c>
      <c r="D655" s="67" t="s">
        <v>1580</v>
      </c>
      <c r="E655" s="67" t="s">
        <v>1581</v>
      </c>
      <c r="F655" s="37"/>
      <c r="G655" s="37"/>
      <c r="H655" s="67" t="s">
        <v>35</v>
      </c>
      <c r="I655" s="37"/>
      <c r="J655" s="129">
        <v>1618</v>
      </c>
      <c r="K655" s="39" t="s">
        <v>19</v>
      </c>
    </row>
    <row r="656" ht="41" customHeight="1" spans="1:11">
      <c r="A656" s="115"/>
      <c r="B656" s="112">
        <v>13310000570001</v>
      </c>
      <c r="C656" s="67" t="s">
        <v>1582</v>
      </c>
      <c r="D656" s="37"/>
      <c r="E656" s="37"/>
      <c r="F656" s="37"/>
      <c r="G656" s="37"/>
      <c r="H656" s="67" t="s">
        <v>35</v>
      </c>
      <c r="I656" s="37"/>
      <c r="J656" s="129">
        <f t="shared" si="20"/>
        <v>323.6</v>
      </c>
      <c r="K656" s="39" t="s">
        <v>19</v>
      </c>
    </row>
    <row r="657" ht="41" customHeight="1" spans="1:11">
      <c r="A657" s="111">
        <v>86</v>
      </c>
      <c r="B657" s="112">
        <v>13310000580000</v>
      </c>
      <c r="C657" s="67" t="s">
        <v>1583</v>
      </c>
      <c r="D657" s="67" t="s">
        <v>1584</v>
      </c>
      <c r="E657" s="67" t="s">
        <v>1585</v>
      </c>
      <c r="F657" s="37"/>
      <c r="G657" s="37"/>
      <c r="H657" s="67" t="s">
        <v>35</v>
      </c>
      <c r="I657" s="37"/>
      <c r="J657" s="129">
        <v>1408</v>
      </c>
      <c r="K657" s="39" t="s">
        <v>19</v>
      </c>
    </row>
    <row r="658" ht="41" customHeight="1" spans="1:11">
      <c r="A658" s="115"/>
      <c r="B658" s="112">
        <v>13310000580001</v>
      </c>
      <c r="C658" s="67" t="s">
        <v>1586</v>
      </c>
      <c r="D658" s="37"/>
      <c r="E658" s="37"/>
      <c r="F658" s="37"/>
      <c r="G658" s="37"/>
      <c r="H658" s="67" t="s">
        <v>35</v>
      </c>
      <c r="I658" s="37"/>
      <c r="J658" s="129">
        <f t="shared" si="20"/>
        <v>281.6</v>
      </c>
      <c r="K658" s="39" t="s">
        <v>19</v>
      </c>
    </row>
    <row r="659" ht="41" customHeight="1" spans="1:11">
      <c r="A659" s="111">
        <v>87</v>
      </c>
      <c r="B659" s="112">
        <v>13310000590000</v>
      </c>
      <c r="C659" s="67" t="s">
        <v>1587</v>
      </c>
      <c r="D659" s="67" t="s">
        <v>1588</v>
      </c>
      <c r="E659" s="67" t="s">
        <v>1589</v>
      </c>
      <c r="F659" s="37"/>
      <c r="G659" s="67" t="s">
        <v>1590</v>
      </c>
      <c r="H659" s="67" t="s">
        <v>35</v>
      </c>
      <c r="I659" s="37"/>
      <c r="J659" s="129">
        <v>1600</v>
      </c>
      <c r="K659" s="39" t="s">
        <v>19</v>
      </c>
    </row>
    <row r="660" ht="41" customHeight="1" spans="1:11">
      <c r="A660" s="114"/>
      <c r="B660" s="112">
        <v>13310000590001</v>
      </c>
      <c r="C660" s="67" t="s">
        <v>1591</v>
      </c>
      <c r="D660" s="37"/>
      <c r="E660" s="37"/>
      <c r="F660" s="37"/>
      <c r="G660" s="37"/>
      <c r="H660" s="67" t="s">
        <v>35</v>
      </c>
      <c r="I660" s="37"/>
      <c r="J660" s="129">
        <f t="shared" ref="J660:J665" si="21">+J659*0.2</f>
        <v>320</v>
      </c>
      <c r="K660" s="39" t="s">
        <v>19</v>
      </c>
    </row>
    <row r="661" ht="41" customHeight="1" spans="1:11">
      <c r="A661" s="115"/>
      <c r="B661" s="112">
        <v>13310000590100</v>
      </c>
      <c r="C661" s="67" t="s">
        <v>1592</v>
      </c>
      <c r="D661" s="37"/>
      <c r="E661" s="37"/>
      <c r="F661" s="37"/>
      <c r="G661" s="37"/>
      <c r="H661" s="67" t="s">
        <v>35</v>
      </c>
      <c r="I661" s="37"/>
      <c r="J661" s="129">
        <v>1600</v>
      </c>
      <c r="K661" s="39" t="s">
        <v>19</v>
      </c>
    </row>
    <row r="662" ht="41" customHeight="1" spans="1:11">
      <c r="A662" s="111">
        <v>88</v>
      </c>
      <c r="B662" s="112">
        <v>13310000600000</v>
      </c>
      <c r="C662" s="67" t="s">
        <v>1593</v>
      </c>
      <c r="D662" s="67" t="s">
        <v>1594</v>
      </c>
      <c r="E662" s="67" t="s">
        <v>1595</v>
      </c>
      <c r="F662" s="37"/>
      <c r="G662" s="37"/>
      <c r="H662" s="67" t="s">
        <v>35</v>
      </c>
      <c r="I662" s="37"/>
      <c r="J662" s="129">
        <v>3000</v>
      </c>
      <c r="K662" s="39" t="s">
        <v>40</v>
      </c>
    </row>
    <row r="663" ht="41" customHeight="1" spans="1:11">
      <c r="A663" s="115"/>
      <c r="B663" s="112">
        <v>13310000600001</v>
      </c>
      <c r="C663" s="67" t="s">
        <v>1596</v>
      </c>
      <c r="D663" s="37"/>
      <c r="E663" s="37"/>
      <c r="F663" s="37"/>
      <c r="G663" s="37"/>
      <c r="H663" s="67" t="s">
        <v>35</v>
      </c>
      <c r="I663" s="37"/>
      <c r="J663" s="129">
        <f t="shared" si="21"/>
        <v>600</v>
      </c>
      <c r="K663" s="39" t="s">
        <v>40</v>
      </c>
    </row>
    <row r="664" ht="41" customHeight="1" spans="1:11">
      <c r="A664" s="111">
        <v>89</v>
      </c>
      <c r="B664" s="112">
        <v>13310000610000</v>
      </c>
      <c r="C664" s="67" t="s">
        <v>1597</v>
      </c>
      <c r="D664" s="67" t="s">
        <v>1598</v>
      </c>
      <c r="E664" s="67" t="s">
        <v>1599</v>
      </c>
      <c r="F664" s="37"/>
      <c r="G664" s="37"/>
      <c r="H664" s="67" t="s">
        <v>35</v>
      </c>
      <c r="I664" s="37"/>
      <c r="J664" s="129">
        <v>2025</v>
      </c>
      <c r="K664" s="39" t="s">
        <v>40</v>
      </c>
    </row>
    <row r="665" ht="41" customHeight="1" spans="1:11">
      <c r="A665" s="115"/>
      <c r="B665" s="112">
        <v>13310000610001</v>
      </c>
      <c r="C665" s="67" t="s">
        <v>1600</v>
      </c>
      <c r="D665" s="37"/>
      <c r="E665" s="37"/>
      <c r="F665" s="37"/>
      <c r="G665" s="37"/>
      <c r="H665" s="67" t="s">
        <v>35</v>
      </c>
      <c r="I665" s="37"/>
      <c r="J665" s="129">
        <f t="shared" si="21"/>
        <v>405</v>
      </c>
      <c r="K665" s="39" t="s">
        <v>40</v>
      </c>
    </row>
    <row r="666" ht="41" customHeight="1" spans="1:11">
      <c r="A666" s="111">
        <v>90</v>
      </c>
      <c r="B666" s="112">
        <v>13310000620000</v>
      </c>
      <c r="C666" s="67" t="s">
        <v>1601</v>
      </c>
      <c r="D666" s="67" t="s">
        <v>1602</v>
      </c>
      <c r="E666" s="67" t="s">
        <v>1603</v>
      </c>
      <c r="F666" s="37"/>
      <c r="G666" s="37"/>
      <c r="H666" s="67" t="s">
        <v>35</v>
      </c>
      <c r="I666" s="37"/>
      <c r="J666" s="129">
        <v>2729</v>
      </c>
      <c r="K666" s="39" t="s">
        <v>1604</v>
      </c>
    </row>
    <row r="667" ht="41" customHeight="1" spans="1:11">
      <c r="A667" s="115"/>
      <c r="B667" s="112">
        <v>13310000620001</v>
      </c>
      <c r="C667" s="67" t="s">
        <v>1605</v>
      </c>
      <c r="D667" s="37"/>
      <c r="E667" s="37"/>
      <c r="F667" s="37"/>
      <c r="G667" s="37"/>
      <c r="H667" s="67" t="s">
        <v>35</v>
      </c>
      <c r="I667" s="37"/>
      <c r="J667" s="129">
        <f t="shared" ref="J667:J671" si="22">+J666*0.2</f>
        <v>545.8</v>
      </c>
      <c r="K667" s="39" t="s">
        <v>19</v>
      </c>
    </row>
    <row r="668" ht="41" customHeight="1" spans="1:11">
      <c r="A668" s="111">
        <v>91</v>
      </c>
      <c r="B668" s="112">
        <v>13310000630000</v>
      </c>
      <c r="C668" s="67" t="s">
        <v>1606</v>
      </c>
      <c r="D668" s="67" t="s">
        <v>1607</v>
      </c>
      <c r="E668" s="67" t="s">
        <v>1608</v>
      </c>
      <c r="F668" s="37"/>
      <c r="G668" s="37"/>
      <c r="H668" s="67" t="s">
        <v>35</v>
      </c>
      <c r="I668" s="37"/>
      <c r="J668" s="129">
        <v>1505</v>
      </c>
      <c r="K668" s="39" t="s">
        <v>19</v>
      </c>
    </row>
    <row r="669" ht="41" customHeight="1" spans="1:11">
      <c r="A669" s="115"/>
      <c r="B669" s="112">
        <v>13310000630001</v>
      </c>
      <c r="C669" s="67" t="s">
        <v>1609</v>
      </c>
      <c r="D669" s="37"/>
      <c r="E669" s="37"/>
      <c r="F669" s="37"/>
      <c r="G669" s="37"/>
      <c r="H669" s="67" t="s">
        <v>35</v>
      </c>
      <c r="I669" s="37"/>
      <c r="J669" s="129">
        <f t="shared" si="22"/>
        <v>301</v>
      </c>
      <c r="K669" s="39" t="s">
        <v>19</v>
      </c>
    </row>
    <row r="670" ht="41" customHeight="1" spans="1:11">
      <c r="A670" s="111">
        <v>92</v>
      </c>
      <c r="B670" s="112">
        <v>13310000640000</v>
      </c>
      <c r="C670" s="67" t="s">
        <v>1610</v>
      </c>
      <c r="D670" s="67" t="s">
        <v>1611</v>
      </c>
      <c r="E670" s="67" t="s">
        <v>1577</v>
      </c>
      <c r="F670" s="37"/>
      <c r="G670" s="37"/>
      <c r="H670" s="67" t="s">
        <v>35</v>
      </c>
      <c r="I670" s="37"/>
      <c r="J670" s="129">
        <v>1775</v>
      </c>
      <c r="K670" s="39" t="s">
        <v>40</v>
      </c>
    </row>
    <row r="671" ht="41" customHeight="1" spans="1:11">
      <c r="A671" s="115"/>
      <c r="B671" s="112">
        <v>13310000640001</v>
      </c>
      <c r="C671" s="67" t="s">
        <v>1612</v>
      </c>
      <c r="D671" s="37"/>
      <c r="E671" s="37"/>
      <c r="F671" s="37"/>
      <c r="G671" s="37"/>
      <c r="H671" s="67" t="s">
        <v>35</v>
      </c>
      <c r="I671" s="37"/>
      <c r="J671" s="129">
        <f t="shared" si="22"/>
        <v>355</v>
      </c>
      <c r="K671" s="39" t="s">
        <v>40</v>
      </c>
    </row>
    <row r="672" ht="41" customHeight="1" spans="1:11">
      <c r="A672" s="111">
        <v>93</v>
      </c>
      <c r="B672" s="112">
        <v>13310000650000</v>
      </c>
      <c r="C672" s="67" t="s">
        <v>1613</v>
      </c>
      <c r="D672" s="67" t="s">
        <v>1614</v>
      </c>
      <c r="E672" s="67" t="s">
        <v>1615</v>
      </c>
      <c r="F672" s="37"/>
      <c r="G672" s="37"/>
      <c r="H672" s="67" t="s">
        <v>35</v>
      </c>
      <c r="I672" s="37"/>
      <c r="J672" s="129">
        <v>15</v>
      </c>
      <c r="K672" s="39" t="s">
        <v>19</v>
      </c>
    </row>
    <row r="673" ht="41" customHeight="1" spans="1:11">
      <c r="A673" s="115"/>
      <c r="B673" s="112">
        <v>13310000650001</v>
      </c>
      <c r="C673" s="67" t="s">
        <v>1616</v>
      </c>
      <c r="D673" s="37"/>
      <c r="E673" s="37"/>
      <c r="F673" s="37"/>
      <c r="G673" s="37"/>
      <c r="H673" s="67" t="s">
        <v>35</v>
      </c>
      <c r="I673" s="37"/>
      <c r="J673" s="129">
        <f t="shared" ref="J673:J677" si="23">+J672*0.2</f>
        <v>3</v>
      </c>
      <c r="K673" s="39" t="s">
        <v>19</v>
      </c>
    </row>
    <row r="674" ht="41" customHeight="1" spans="1:11">
      <c r="A674" s="111">
        <v>94</v>
      </c>
      <c r="B674" s="112">
        <v>13310000660000</v>
      </c>
      <c r="C674" s="67" t="s">
        <v>1617</v>
      </c>
      <c r="D674" s="67" t="s">
        <v>1618</v>
      </c>
      <c r="E674" s="67" t="s">
        <v>1619</v>
      </c>
      <c r="F674" s="37"/>
      <c r="G674" s="37"/>
      <c r="H674" s="67" t="s">
        <v>35</v>
      </c>
      <c r="I674" s="37"/>
      <c r="J674" s="129">
        <v>8</v>
      </c>
      <c r="K674" s="39" t="s">
        <v>19</v>
      </c>
    </row>
    <row r="675" ht="41" customHeight="1" spans="1:11">
      <c r="A675" s="115"/>
      <c r="B675" s="112">
        <v>13310000660001</v>
      </c>
      <c r="C675" s="67" t="s">
        <v>1620</v>
      </c>
      <c r="D675" s="37"/>
      <c r="E675" s="37"/>
      <c r="F675" s="37"/>
      <c r="G675" s="37"/>
      <c r="H675" s="67" t="s">
        <v>35</v>
      </c>
      <c r="I675" s="37"/>
      <c r="J675" s="129">
        <f t="shared" si="23"/>
        <v>1.6</v>
      </c>
      <c r="K675" s="39" t="s">
        <v>19</v>
      </c>
    </row>
    <row r="676" ht="41" customHeight="1" spans="1:11">
      <c r="A676" s="111">
        <v>95</v>
      </c>
      <c r="B676" s="112">
        <v>13310000670000</v>
      </c>
      <c r="C676" s="67" t="s">
        <v>1621</v>
      </c>
      <c r="D676" s="67" t="s">
        <v>1622</v>
      </c>
      <c r="E676" s="67" t="s">
        <v>1623</v>
      </c>
      <c r="F676" s="37"/>
      <c r="G676" s="37"/>
      <c r="H676" s="67" t="s">
        <v>35</v>
      </c>
      <c r="I676" s="37"/>
      <c r="J676" s="129">
        <v>50</v>
      </c>
      <c r="K676" s="39" t="s">
        <v>19</v>
      </c>
    </row>
    <row r="677" ht="41" customHeight="1" spans="1:11">
      <c r="A677" s="115"/>
      <c r="B677" s="112">
        <v>13310000670001</v>
      </c>
      <c r="C677" s="67" t="s">
        <v>1624</v>
      </c>
      <c r="D677" s="37"/>
      <c r="E677" s="37"/>
      <c r="F677" s="37"/>
      <c r="G677" s="37"/>
      <c r="H677" s="67" t="s">
        <v>35</v>
      </c>
      <c r="I677" s="37"/>
      <c r="J677" s="129">
        <f t="shared" si="23"/>
        <v>10</v>
      </c>
      <c r="K677" s="39" t="s">
        <v>19</v>
      </c>
    </row>
    <row r="678" ht="41" customHeight="1" spans="1:11">
      <c r="A678" s="111">
        <v>96</v>
      </c>
      <c r="B678" s="112">
        <v>13310000680000</v>
      </c>
      <c r="C678" s="67" t="s">
        <v>1625</v>
      </c>
      <c r="D678" s="67" t="s">
        <v>1626</v>
      </c>
      <c r="E678" s="67" t="s">
        <v>1627</v>
      </c>
      <c r="F678" s="37"/>
      <c r="G678" s="37"/>
      <c r="H678" s="67" t="s">
        <v>35</v>
      </c>
      <c r="I678" s="37"/>
      <c r="J678" s="129">
        <v>663</v>
      </c>
      <c r="K678" s="39" t="s">
        <v>40</v>
      </c>
    </row>
    <row r="679" ht="41" customHeight="1" spans="1:11">
      <c r="A679" s="115"/>
      <c r="B679" s="112">
        <v>13310000680001</v>
      </c>
      <c r="C679" s="67" t="s">
        <v>1628</v>
      </c>
      <c r="D679" s="37"/>
      <c r="E679" s="37"/>
      <c r="F679" s="37"/>
      <c r="G679" s="37"/>
      <c r="H679" s="67" t="s">
        <v>35</v>
      </c>
      <c r="I679" s="37"/>
      <c r="J679" s="129">
        <f t="shared" ref="J679:J684" si="24">+J678*0.2</f>
        <v>132.6</v>
      </c>
      <c r="K679" s="39" t="s">
        <v>40</v>
      </c>
    </row>
    <row r="680" ht="41" customHeight="1" spans="1:11">
      <c r="A680" s="111">
        <v>97</v>
      </c>
      <c r="B680" s="112">
        <v>13310000690000</v>
      </c>
      <c r="C680" s="67" t="s">
        <v>1629</v>
      </c>
      <c r="D680" s="67" t="s">
        <v>1630</v>
      </c>
      <c r="E680" s="67" t="s">
        <v>1631</v>
      </c>
      <c r="F680" s="67" t="s">
        <v>1632</v>
      </c>
      <c r="G680" s="37"/>
      <c r="H680" s="67" t="s">
        <v>35</v>
      </c>
      <c r="I680" s="67" t="s">
        <v>1633</v>
      </c>
      <c r="J680" s="129">
        <v>649</v>
      </c>
      <c r="K680" s="39" t="s">
        <v>19</v>
      </c>
    </row>
    <row r="681" ht="41" customHeight="1" spans="1:11">
      <c r="A681" s="114"/>
      <c r="B681" s="112">
        <v>13310000690001</v>
      </c>
      <c r="C681" s="67" t="s">
        <v>1634</v>
      </c>
      <c r="D681" s="37"/>
      <c r="E681" s="37"/>
      <c r="F681" s="37"/>
      <c r="G681" s="37"/>
      <c r="H681" s="67" t="s">
        <v>35</v>
      </c>
      <c r="I681" s="37"/>
      <c r="J681" s="129">
        <f t="shared" si="24"/>
        <v>129.8</v>
      </c>
      <c r="K681" s="39" t="s">
        <v>19</v>
      </c>
    </row>
    <row r="682" ht="41" customHeight="1" spans="1:11">
      <c r="A682" s="115"/>
      <c r="B682" s="112">
        <v>13310000690011</v>
      </c>
      <c r="C682" s="67" t="s">
        <v>1635</v>
      </c>
      <c r="D682" s="37"/>
      <c r="E682" s="37"/>
      <c r="F682" s="37"/>
      <c r="G682" s="37"/>
      <c r="H682" s="67" t="s">
        <v>35</v>
      </c>
      <c r="I682" s="37"/>
      <c r="J682" s="129">
        <f>+J680*0.3</f>
        <v>194.7</v>
      </c>
      <c r="K682" s="39" t="s">
        <v>19</v>
      </c>
    </row>
    <row r="683" ht="41" customHeight="1" spans="1:11">
      <c r="A683" s="111">
        <v>98</v>
      </c>
      <c r="B683" s="112">
        <v>13310000700000</v>
      </c>
      <c r="C683" s="67" t="s">
        <v>1636</v>
      </c>
      <c r="D683" s="67" t="s">
        <v>1637</v>
      </c>
      <c r="E683" s="67" t="s">
        <v>1638</v>
      </c>
      <c r="F683" s="37"/>
      <c r="G683" s="37"/>
      <c r="H683" s="67" t="s">
        <v>35</v>
      </c>
      <c r="I683" s="67" t="s">
        <v>1639</v>
      </c>
      <c r="J683" s="129">
        <v>746</v>
      </c>
      <c r="K683" s="39" t="s">
        <v>19</v>
      </c>
    </row>
    <row r="684" ht="41" customHeight="1" spans="1:11">
      <c r="A684" s="115"/>
      <c r="B684" s="112">
        <v>13310000700001</v>
      </c>
      <c r="C684" s="67" t="s">
        <v>1640</v>
      </c>
      <c r="D684" s="37"/>
      <c r="E684" s="37"/>
      <c r="F684" s="37"/>
      <c r="G684" s="37"/>
      <c r="H684" s="67" t="s">
        <v>35</v>
      </c>
      <c r="I684" s="37"/>
      <c r="J684" s="129">
        <f t="shared" si="24"/>
        <v>149.2</v>
      </c>
      <c r="K684" s="39" t="s">
        <v>19</v>
      </c>
    </row>
    <row r="685" ht="41" customHeight="1" spans="1:11">
      <c r="A685" s="111">
        <v>99</v>
      </c>
      <c r="B685" s="112">
        <v>13310000710000</v>
      </c>
      <c r="C685" s="67" t="s">
        <v>1641</v>
      </c>
      <c r="D685" s="67" t="s">
        <v>1642</v>
      </c>
      <c r="E685" s="67" t="s">
        <v>1643</v>
      </c>
      <c r="F685" s="37"/>
      <c r="G685" s="37"/>
      <c r="H685" s="67" t="s">
        <v>1644</v>
      </c>
      <c r="I685" s="37"/>
      <c r="J685" s="129">
        <v>133</v>
      </c>
      <c r="K685" s="39" t="s">
        <v>19</v>
      </c>
    </row>
    <row r="686" ht="41" customHeight="1" spans="1:11">
      <c r="A686" s="115"/>
      <c r="B686" s="112">
        <v>13310000710001</v>
      </c>
      <c r="C686" s="67" t="s">
        <v>1645</v>
      </c>
      <c r="D686" s="37"/>
      <c r="E686" s="37"/>
      <c r="F686" s="37"/>
      <c r="G686" s="37"/>
      <c r="H686" s="67" t="s">
        <v>1644</v>
      </c>
      <c r="I686" s="37"/>
      <c r="J686" s="129">
        <f t="shared" ref="J686:J691" si="25">+J685*0.2</f>
        <v>26.6</v>
      </c>
      <c r="K686" s="39" t="s">
        <v>19</v>
      </c>
    </row>
    <row r="687" ht="41" customHeight="1" spans="1:11">
      <c r="A687" s="111">
        <v>100</v>
      </c>
      <c r="B687" s="112">
        <v>13310000720000</v>
      </c>
      <c r="C687" s="67" t="s">
        <v>1646</v>
      </c>
      <c r="D687" s="67" t="s">
        <v>1647</v>
      </c>
      <c r="E687" s="67" t="s">
        <v>1643</v>
      </c>
      <c r="F687" s="37"/>
      <c r="G687" s="67" t="s">
        <v>1648</v>
      </c>
      <c r="H687" s="67" t="s">
        <v>35</v>
      </c>
      <c r="I687" s="37"/>
      <c r="J687" s="129">
        <v>500</v>
      </c>
      <c r="K687" s="39" t="s">
        <v>19</v>
      </c>
    </row>
    <row r="688" ht="41" customHeight="1" spans="1:11">
      <c r="A688" s="114"/>
      <c r="B688" s="112">
        <v>13310000720001</v>
      </c>
      <c r="C688" s="67" t="s">
        <v>1649</v>
      </c>
      <c r="D688" s="37"/>
      <c r="E688" s="37"/>
      <c r="F688" s="37"/>
      <c r="G688" s="37"/>
      <c r="H688" s="67" t="s">
        <v>35</v>
      </c>
      <c r="I688" s="37"/>
      <c r="J688" s="129">
        <f t="shared" si="25"/>
        <v>100</v>
      </c>
      <c r="K688" s="39" t="s">
        <v>19</v>
      </c>
    </row>
    <row r="689" ht="41" customHeight="1" spans="1:11">
      <c r="A689" s="115"/>
      <c r="B689" s="112">
        <v>13310000720100</v>
      </c>
      <c r="C689" s="67" t="s">
        <v>1650</v>
      </c>
      <c r="D689" s="37"/>
      <c r="E689" s="37"/>
      <c r="F689" s="37"/>
      <c r="G689" s="37"/>
      <c r="H689" s="67" t="s">
        <v>35</v>
      </c>
      <c r="I689" s="37"/>
      <c r="J689" s="129">
        <v>500</v>
      </c>
      <c r="K689" s="39" t="s">
        <v>19</v>
      </c>
    </row>
    <row r="690" ht="41" customHeight="1" spans="1:11">
      <c r="A690" s="111">
        <v>101</v>
      </c>
      <c r="B690" s="112">
        <v>13310000730000</v>
      </c>
      <c r="C690" s="67" t="s">
        <v>1651</v>
      </c>
      <c r="D690" s="67" t="s">
        <v>1652</v>
      </c>
      <c r="E690" s="67" t="s">
        <v>1653</v>
      </c>
      <c r="F690" s="37"/>
      <c r="G690" s="37"/>
      <c r="H690" s="67" t="s">
        <v>35</v>
      </c>
      <c r="I690" s="37"/>
      <c r="J690" s="129">
        <v>101</v>
      </c>
      <c r="K690" s="39" t="s">
        <v>19</v>
      </c>
    </row>
    <row r="691" ht="41" customHeight="1" spans="1:11">
      <c r="A691" s="115"/>
      <c r="B691" s="112">
        <v>13310000730001</v>
      </c>
      <c r="C691" s="67" t="s">
        <v>1654</v>
      </c>
      <c r="D691" s="37"/>
      <c r="E691" s="37"/>
      <c r="F691" s="37"/>
      <c r="G691" s="37"/>
      <c r="H691" s="67" t="s">
        <v>35</v>
      </c>
      <c r="I691" s="37"/>
      <c r="J691" s="129">
        <f t="shared" si="25"/>
        <v>20.2</v>
      </c>
      <c r="K691" s="39" t="s">
        <v>19</v>
      </c>
    </row>
    <row r="692" ht="41" customHeight="1" spans="1:11">
      <c r="A692" s="111">
        <v>102</v>
      </c>
      <c r="B692" s="112">
        <v>13310000740000</v>
      </c>
      <c r="C692" s="67" t="s">
        <v>1655</v>
      </c>
      <c r="D692" s="67" t="s">
        <v>1656</v>
      </c>
      <c r="E692" s="67" t="s">
        <v>1657</v>
      </c>
      <c r="F692" s="37"/>
      <c r="G692" s="37"/>
      <c r="H692" s="67" t="s">
        <v>1644</v>
      </c>
      <c r="I692" s="37"/>
      <c r="J692" s="129">
        <v>372</v>
      </c>
      <c r="K692" s="39" t="s">
        <v>19</v>
      </c>
    </row>
    <row r="693" ht="41" customHeight="1" spans="1:11">
      <c r="A693" s="115"/>
      <c r="B693" s="112">
        <v>13310000740001</v>
      </c>
      <c r="C693" s="67" t="s">
        <v>1658</v>
      </c>
      <c r="D693" s="37"/>
      <c r="E693" s="37"/>
      <c r="F693" s="37"/>
      <c r="G693" s="37"/>
      <c r="H693" s="67" t="s">
        <v>1644</v>
      </c>
      <c r="I693" s="37"/>
      <c r="J693" s="129">
        <f>+J692*0.2</f>
        <v>74.4</v>
      </c>
      <c r="K693" s="39" t="s">
        <v>19</v>
      </c>
    </row>
    <row r="694" ht="41" customHeight="1" spans="1:11">
      <c r="A694" s="111">
        <v>103</v>
      </c>
      <c r="B694" s="112">
        <v>13310000750000</v>
      </c>
      <c r="C694" s="67" t="s">
        <v>1659</v>
      </c>
      <c r="D694" s="67" t="s">
        <v>1660</v>
      </c>
      <c r="E694" s="67" t="s">
        <v>1661</v>
      </c>
      <c r="F694" s="67" t="s">
        <v>1662</v>
      </c>
      <c r="G694" s="37"/>
      <c r="H694" s="67" t="s">
        <v>35</v>
      </c>
      <c r="I694" s="67" t="s">
        <v>1663</v>
      </c>
      <c r="J694" s="129">
        <v>595</v>
      </c>
      <c r="K694" s="39" t="s">
        <v>19</v>
      </c>
    </row>
    <row r="695" ht="41" customHeight="1" spans="1:11">
      <c r="A695" s="114"/>
      <c r="B695" s="112">
        <v>13310000750001</v>
      </c>
      <c r="C695" s="67" t="s">
        <v>1664</v>
      </c>
      <c r="D695" s="37"/>
      <c r="E695" s="37"/>
      <c r="F695" s="37"/>
      <c r="G695" s="37"/>
      <c r="H695" s="67" t="s">
        <v>35</v>
      </c>
      <c r="I695" s="37"/>
      <c r="J695" s="129">
        <f>+J694*0.2</f>
        <v>119</v>
      </c>
      <c r="K695" s="39" t="s">
        <v>19</v>
      </c>
    </row>
    <row r="696" ht="41" customHeight="1" spans="1:11">
      <c r="A696" s="114"/>
      <c r="B696" s="112">
        <v>13310000750011</v>
      </c>
      <c r="C696" s="67" t="s">
        <v>1665</v>
      </c>
      <c r="D696" s="37"/>
      <c r="E696" s="37"/>
      <c r="F696" s="37"/>
      <c r="G696" s="37"/>
      <c r="H696" s="67" t="s">
        <v>35</v>
      </c>
      <c r="I696" s="67" t="s">
        <v>1663</v>
      </c>
      <c r="J696" s="129">
        <f>+J694*0.29</f>
        <v>172.55</v>
      </c>
      <c r="K696" s="39" t="s">
        <v>19</v>
      </c>
    </row>
    <row r="697" ht="41" customHeight="1" spans="1:11">
      <c r="A697" s="115"/>
      <c r="B697" s="112">
        <v>13310000750021</v>
      </c>
      <c r="C697" s="67" t="s">
        <v>1666</v>
      </c>
      <c r="D697" s="37"/>
      <c r="E697" s="37"/>
      <c r="F697" s="37"/>
      <c r="G697" s="37"/>
      <c r="H697" s="67" t="s">
        <v>35</v>
      </c>
      <c r="I697" s="37"/>
      <c r="J697" s="129">
        <f>+J694*0.2</f>
        <v>119</v>
      </c>
      <c r="K697" s="39" t="s">
        <v>19</v>
      </c>
    </row>
    <row r="698" ht="41" customHeight="1" spans="1:11">
      <c r="A698" s="111">
        <v>104</v>
      </c>
      <c r="B698" s="112">
        <v>13310000760000</v>
      </c>
      <c r="C698" s="67" t="s">
        <v>1667</v>
      </c>
      <c r="D698" s="67" t="s">
        <v>1668</v>
      </c>
      <c r="E698" s="67" t="s">
        <v>1669</v>
      </c>
      <c r="F698" s="37"/>
      <c r="G698" s="37"/>
      <c r="H698" s="67" t="s">
        <v>35</v>
      </c>
      <c r="I698" s="37"/>
      <c r="J698" s="129">
        <v>1329</v>
      </c>
      <c r="K698" s="39" t="s">
        <v>19</v>
      </c>
    </row>
    <row r="699" ht="41" customHeight="1" spans="1:11">
      <c r="A699" s="115"/>
      <c r="B699" s="112">
        <v>13310000760001</v>
      </c>
      <c r="C699" s="67" t="s">
        <v>1670</v>
      </c>
      <c r="D699" s="37"/>
      <c r="E699" s="37"/>
      <c r="F699" s="37"/>
      <c r="G699" s="37"/>
      <c r="H699" s="67" t="s">
        <v>35</v>
      </c>
      <c r="I699" s="37"/>
      <c r="J699" s="129">
        <f t="shared" ref="J699:J703" si="26">+J698*0.2</f>
        <v>265.8</v>
      </c>
      <c r="K699" s="39" t="s">
        <v>19</v>
      </c>
    </row>
    <row r="700" ht="41" customHeight="1" spans="1:11">
      <c r="A700" s="111">
        <v>105</v>
      </c>
      <c r="B700" s="112">
        <v>13310000770000</v>
      </c>
      <c r="C700" s="67" t="s">
        <v>1671</v>
      </c>
      <c r="D700" s="67" t="s">
        <v>1672</v>
      </c>
      <c r="E700" s="67" t="s">
        <v>1673</v>
      </c>
      <c r="F700" s="37"/>
      <c r="G700" s="37"/>
      <c r="H700" s="67" t="s">
        <v>35</v>
      </c>
      <c r="I700" s="37"/>
      <c r="J700" s="129">
        <v>649</v>
      </c>
      <c r="K700" s="39" t="s">
        <v>19</v>
      </c>
    </row>
    <row r="701" ht="41" customHeight="1" spans="1:11">
      <c r="A701" s="115"/>
      <c r="B701" s="112">
        <v>13310000770001</v>
      </c>
      <c r="C701" s="67" t="s">
        <v>1674</v>
      </c>
      <c r="D701" s="37"/>
      <c r="E701" s="37"/>
      <c r="F701" s="37"/>
      <c r="G701" s="37"/>
      <c r="H701" s="67" t="s">
        <v>35</v>
      </c>
      <c r="I701" s="37"/>
      <c r="J701" s="129">
        <f t="shared" si="26"/>
        <v>129.8</v>
      </c>
      <c r="K701" s="39" t="s">
        <v>19</v>
      </c>
    </row>
    <row r="702" ht="41" customHeight="1" spans="1:11">
      <c r="A702" s="111">
        <v>106</v>
      </c>
      <c r="B702" s="112">
        <v>13310000780000</v>
      </c>
      <c r="C702" s="67" t="s">
        <v>1675</v>
      </c>
      <c r="D702" s="67" t="s">
        <v>1676</v>
      </c>
      <c r="E702" s="67" t="s">
        <v>1673</v>
      </c>
      <c r="F702" s="37"/>
      <c r="G702" s="37"/>
      <c r="H702" s="67" t="s">
        <v>35</v>
      </c>
      <c r="I702" s="67" t="s">
        <v>1677</v>
      </c>
      <c r="J702" s="129">
        <v>844</v>
      </c>
      <c r="K702" s="39" t="s">
        <v>19</v>
      </c>
    </row>
    <row r="703" ht="41" customHeight="1" spans="1:11">
      <c r="A703" s="115"/>
      <c r="B703" s="112">
        <v>13310000780001</v>
      </c>
      <c r="C703" s="67" t="s">
        <v>1678</v>
      </c>
      <c r="D703" s="37"/>
      <c r="E703" s="37"/>
      <c r="F703" s="37"/>
      <c r="G703" s="37"/>
      <c r="H703" s="67" t="s">
        <v>35</v>
      </c>
      <c r="I703" s="37"/>
      <c r="J703" s="129">
        <f t="shared" si="26"/>
        <v>168.8</v>
      </c>
      <c r="K703" s="39" t="s">
        <v>19</v>
      </c>
    </row>
    <row r="704" ht="41" customHeight="1" spans="1:11">
      <c r="A704" s="111">
        <v>107</v>
      </c>
      <c r="B704" s="112">
        <v>13310000790000</v>
      </c>
      <c r="C704" s="67" t="s">
        <v>1679</v>
      </c>
      <c r="D704" s="67" t="s">
        <v>1680</v>
      </c>
      <c r="E704" s="67" t="s">
        <v>1608</v>
      </c>
      <c r="F704" s="37"/>
      <c r="G704" s="37"/>
      <c r="H704" s="67" t="s">
        <v>35</v>
      </c>
      <c r="I704" s="37"/>
      <c r="J704" s="129">
        <v>377</v>
      </c>
      <c r="K704" s="39" t="s">
        <v>19</v>
      </c>
    </row>
    <row r="705" ht="41" customHeight="1" spans="1:11">
      <c r="A705" s="115"/>
      <c r="B705" s="112">
        <v>13310000790001</v>
      </c>
      <c r="C705" s="67" t="s">
        <v>1681</v>
      </c>
      <c r="D705" s="37"/>
      <c r="E705" s="37"/>
      <c r="F705" s="37"/>
      <c r="G705" s="37"/>
      <c r="H705" s="67" t="s">
        <v>35</v>
      </c>
      <c r="I705" s="37"/>
      <c r="J705" s="129">
        <f t="shared" ref="J705:J709" si="27">+J704*0.2</f>
        <v>75.4</v>
      </c>
      <c r="K705" s="39" t="s">
        <v>19</v>
      </c>
    </row>
    <row r="706" ht="41" customHeight="1" spans="1:11">
      <c r="A706" s="111">
        <v>108</v>
      </c>
      <c r="B706" s="112">
        <v>13310000800000</v>
      </c>
      <c r="C706" s="67" t="s">
        <v>1682</v>
      </c>
      <c r="D706" s="67" t="s">
        <v>1683</v>
      </c>
      <c r="E706" s="67" t="s">
        <v>1684</v>
      </c>
      <c r="F706" s="37"/>
      <c r="G706" s="37"/>
      <c r="H706" s="67" t="s">
        <v>35</v>
      </c>
      <c r="I706" s="37"/>
      <c r="J706" s="129">
        <v>958</v>
      </c>
      <c r="K706" s="39" t="s">
        <v>19</v>
      </c>
    </row>
    <row r="707" ht="41" customHeight="1" spans="1:11">
      <c r="A707" s="115"/>
      <c r="B707" s="112">
        <v>13310000800001</v>
      </c>
      <c r="C707" s="67" t="s">
        <v>1685</v>
      </c>
      <c r="D707" s="37"/>
      <c r="E707" s="37"/>
      <c r="F707" s="37"/>
      <c r="G707" s="37"/>
      <c r="H707" s="67" t="s">
        <v>35</v>
      </c>
      <c r="I707" s="37"/>
      <c r="J707" s="129">
        <f t="shared" si="27"/>
        <v>191.6</v>
      </c>
      <c r="K707" s="39" t="s">
        <v>19</v>
      </c>
    </row>
    <row r="708" ht="41" customHeight="1" spans="1:11">
      <c r="A708" s="111">
        <v>109</v>
      </c>
      <c r="B708" s="112">
        <v>13310000810000</v>
      </c>
      <c r="C708" s="67" t="s">
        <v>1686</v>
      </c>
      <c r="D708" s="67" t="s">
        <v>1687</v>
      </c>
      <c r="E708" s="67" t="s">
        <v>1684</v>
      </c>
      <c r="F708" s="37"/>
      <c r="G708" s="37"/>
      <c r="H708" s="67" t="s">
        <v>35</v>
      </c>
      <c r="I708" s="67" t="s">
        <v>1688</v>
      </c>
      <c r="J708" s="129">
        <v>1278</v>
      </c>
      <c r="K708" s="39" t="s">
        <v>19</v>
      </c>
    </row>
    <row r="709" ht="41" customHeight="1" spans="1:11">
      <c r="A709" s="115"/>
      <c r="B709" s="112">
        <v>13310000810001</v>
      </c>
      <c r="C709" s="67" t="s">
        <v>1689</v>
      </c>
      <c r="D709" s="37"/>
      <c r="E709" s="37"/>
      <c r="F709" s="37"/>
      <c r="G709" s="37"/>
      <c r="H709" s="67" t="s">
        <v>35</v>
      </c>
      <c r="I709" s="37"/>
      <c r="J709" s="129">
        <f t="shared" si="27"/>
        <v>255.6</v>
      </c>
      <c r="K709" s="39" t="s">
        <v>19</v>
      </c>
    </row>
    <row r="710" ht="41" customHeight="1" spans="1:11">
      <c r="A710" s="111">
        <v>110</v>
      </c>
      <c r="B710" s="112">
        <v>13310000820000</v>
      </c>
      <c r="C710" s="67" t="s">
        <v>1690</v>
      </c>
      <c r="D710" s="67" t="s">
        <v>1691</v>
      </c>
      <c r="E710" s="67" t="s">
        <v>1684</v>
      </c>
      <c r="F710" s="67" t="s">
        <v>1692</v>
      </c>
      <c r="G710" s="37"/>
      <c r="H710" s="67" t="s">
        <v>35</v>
      </c>
      <c r="I710" s="37"/>
      <c r="J710" s="129">
        <v>2419</v>
      </c>
      <c r="K710" s="39" t="s">
        <v>19</v>
      </c>
    </row>
    <row r="711" ht="41" customHeight="1" spans="1:11">
      <c r="A711" s="114"/>
      <c r="B711" s="112">
        <v>13310000820001</v>
      </c>
      <c r="C711" s="67" t="s">
        <v>1693</v>
      </c>
      <c r="D711" s="37"/>
      <c r="E711" s="37"/>
      <c r="F711" s="37"/>
      <c r="G711" s="37"/>
      <c r="H711" s="67" t="s">
        <v>35</v>
      </c>
      <c r="I711" s="37"/>
      <c r="J711" s="129">
        <f t="shared" ref="J711:J716" si="28">+J710*0.2</f>
        <v>483.8</v>
      </c>
      <c r="K711" s="39" t="s">
        <v>19</v>
      </c>
    </row>
    <row r="712" ht="41" customHeight="1" spans="1:11">
      <c r="A712" s="115"/>
      <c r="B712" s="112">
        <v>13310000820011</v>
      </c>
      <c r="C712" s="67" t="s">
        <v>1694</v>
      </c>
      <c r="D712" s="37"/>
      <c r="E712" s="37"/>
      <c r="F712" s="37"/>
      <c r="G712" s="37"/>
      <c r="H712" s="67" t="s">
        <v>35</v>
      </c>
      <c r="I712" s="37"/>
      <c r="J712" s="129">
        <f>+J710*0.3</f>
        <v>725.7</v>
      </c>
      <c r="K712" s="39" t="s">
        <v>19</v>
      </c>
    </row>
    <row r="713" ht="41" customHeight="1" spans="1:11">
      <c r="A713" s="111">
        <v>111</v>
      </c>
      <c r="B713" s="112">
        <v>13310000830000</v>
      </c>
      <c r="C713" s="67" t="s">
        <v>1695</v>
      </c>
      <c r="D713" s="67" t="s">
        <v>1696</v>
      </c>
      <c r="E713" s="67" t="s">
        <v>1697</v>
      </c>
      <c r="F713" s="37"/>
      <c r="G713" s="37"/>
      <c r="H713" s="67" t="s">
        <v>35</v>
      </c>
      <c r="I713" s="37"/>
      <c r="J713" s="129">
        <v>772</v>
      </c>
      <c r="K713" s="39" t="s">
        <v>19</v>
      </c>
    </row>
    <row r="714" ht="41" customHeight="1" spans="1:11">
      <c r="A714" s="115"/>
      <c r="B714" s="112">
        <v>13310000830001</v>
      </c>
      <c r="C714" s="67" t="s">
        <v>1698</v>
      </c>
      <c r="D714" s="37"/>
      <c r="E714" s="37"/>
      <c r="F714" s="37"/>
      <c r="G714" s="37"/>
      <c r="H714" s="67" t="s">
        <v>35</v>
      </c>
      <c r="I714" s="37"/>
      <c r="J714" s="129">
        <f t="shared" si="28"/>
        <v>154.4</v>
      </c>
      <c r="K714" s="39" t="s">
        <v>19</v>
      </c>
    </row>
    <row r="715" ht="41" customHeight="1" spans="1:11">
      <c r="A715" s="111">
        <v>112</v>
      </c>
      <c r="B715" s="112">
        <v>13310000840000</v>
      </c>
      <c r="C715" s="67" t="s">
        <v>1699</v>
      </c>
      <c r="D715" s="67" t="s">
        <v>1700</v>
      </c>
      <c r="E715" s="67" t="s">
        <v>1701</v>
      </c>
      <c r="F715" s="37"/>
      <c r="G715" s="37"/>
      <c r="H715" s="67" t="s">
        <v>35</v>
      </c>
      <c r="I715" s="37"/>
      <c r="J715" s="129">
        <v>1000</v>
      </c>
      <c r="K715" s="39" t="s">
        <v>19</v>
      </c>
    </row>
    <row r="716" ht="41" customHeight="1" spans="1:11">
      <c r="A716" s="115"/>
      <c r="B716" s="112">
        <v>13310000840001</v>
      </c>
      <c r="C716" s="67" t="s">
        <v>1702</v>
      </c>
      <c r="D716" s="37"/>
      <c r="E716" s="37"/>
      <c r="F716" s="37"/>
      <c r="G716" s="37"/>
      <c r="H716" s="67" t="s">
        <v>35</v>
      </c>
      <c r="I716" s="37"/>
      <c r="J716" s="129">
        <f t="shared" si="28"/>
        <v>200</v>
      </c>
      <c r="K716" s="39" t="s">
        <v>19</v>
      </c>
    </row>
    <row r="717" ht="41" customHeight="1" spans="1:11">
      <c r="A717" s="111">
        <v>113</v>
      </c>
      <c r="B717" s="112">
        <v>13310000850000</v>
      </c>
      <c r="C717" s="67" t="s">
        <v>1703</v>
      </c>
      <c r="D717" s="67" t="s">
        <v>1704</v>
      </c>
      <c r="E717" s="67" t="s">
        <v>1705</v>
      </c>
      <c r="F717" s="37"/>
      <c r="G717" s="37"/>
      <c r="H717" s="67" t="s">
        <v>35</v>
      </c>
      <c r="I717" s="67" t="s">
        <v>1706</v>
      </c>
      <c r="J717" s="129">
        <v>1329</v>
      </c>
      <c r="K717" s="39" t="s">
        <v>40</v>
      </c>
    </row>
    <row r="718" ht="41" customHeight="1" spans="1:11">
      <c r="A718" s="115"/>
      <c r="B718" s="112">
        <v>13310000850001</v>
      </c>
      <c r="C718" s="67" t="s">
        <v>1707</v>
      </c>
      <c r="D718" s="37"/>
      <c r="E718" s="37"/>
      <c r="F718" s="37"/>
      <c r="G718" s="37"/>
      <c r="H718" s="67" t="s">
        <v>35</v>
      </c>
      <c r="I718" s="37"/>
      <c r="J718" s="129">
        <f t="shared" ref="J718:J722" si="29">+J717*0.2</f>
        <v>265.8</v>
      </c>
      <c r="K718" s="39" t="s">
        <v>40</v>
      </c>
    </row>
    <row r="719" ht="41" customHeight="1" spans="1:11">
      <c r="A719" s="111">
        <v>114</v>
      </c>
      <c r="B719" s="112">
        <v>13310000860000</v>
      </c>
      <c r="C719" s="67" t="s">
        <v>1708</v>
      </c>
      <c r="D719" s="67" t="s">
        <v>1709</v>
      </c>
      <c r="E719" s="67" t="s">
        <v>1705</v>
      </c>
      <c r="F719" s="37"/>
      <c r="G719" s="37"/>
      <c r="H719" s="67" t="s">
        <v>35</v>
      </c>
      <c r="I719" s="37"/>
      <c r="J719" s="129">
        <v>2833</v>
      </c>
      <c r="K719" s="39" t="s">
        <v>40</v>
      </c>
    </row>
    <row r="720" ht="41" customHeight="1" spans="1:11">
      <c r="A720" s="115"/>
      <c r="B720" s="112">
        <v>13310000860001</v>
      </c>
      <c r="C720" s="67" t="s">
        <v>1710</v>
      </c>
      <c r="D720" s="37"/>
      <c r="E720" s="37"/>
      <c r="F720" s="37"/>
      <c r="G720" s="37"/>
      <c r="H720" s="67" t="s">
        <v>35</v>
      </c>
      <c r="I720" s="37"/>
      <c r="J720" s="129">
        <f t="shared" si="29"/>
        <v>566.6</v>
      </c>
      <c r="K720" s="39" t="s">
        <v>40</v>
      </c>
    </row>
    <row r="721" ht="41" customHeight="1" spans="1:11">
      <c r="A721" s="111">
        <v>115</v>
      </c>
      <c r="B721" s="112">
        <v>13310000870000</v>
      </c>
      <c r="C721" s="67" t="s">
        <v>1711</v>
      </c>
      <c r="D721" s="67" t="s">
        <v>1712</v>
      </c>
      <c r="E721" s="67" t="s">
        <v>1713</v>
      </c>
      <c r="F721" s="37"/>
      <c r="G721" s="37"/>
      <c r="H721" s="67" t="s">
        <v>35</v>
      </c>
      <c r="I721" s="37"/>
      <c r="J721" s="129">
        <v>30</v>
      </c>
      <c r="K721" s="39" t="s">
        <v>19</v>
      </c>
    </row>
    <row r="722" ht="41" customHeight="1" spans="1:11">
      <c r="A722" s="115"/>
      <c r="B722" s="112">
        <v>13310000870001</v>
      </c>
      <c r="C722" s="67" t="s">
        <v>1714</v>
      </c>
      <c r="D722" s="37"/>
      <c r="E722" s="37"/>
      <c r="F722" s="37"/>
      <c r="G722" s="37"/>
      <c r="H722" s="67" t="s">
        <v>35</v>
      </c>
      <c r="I722" s="37"/>
      <c r="J722" s="129">
        <f t="shared" si="29"/>
        <v>6</v>
      </c>
      <c r="K722" s="39" t="s">
        <v>19</v>
      </c>
    </row>
    <row r="723" ht="41" customHeight="1" spans="1:11">
      <c r="A723" s="111">
        <v>116</v>
      </c>
      <c r="B723" s="112">
        <v>13310000880000</v>
      </c>
      <c r="C723" s="67" t="s">
        <v>1715</v>
      </c>
      <c r="D723" s="67" t="s">
        <v>1716</v>
      </c>
      <c r="E723" s="67" t="s">
        <v>1518</v>
      </c>
      <c r="F723" s="37"/>
      <c r="G723" s="37"/>
      <c r="H723" s="67" t="s">
        <v>35</v>
      </c>
      <c r="I723" s="67" t="s">
        <v>1717</v>
      </c>
      <c r="J723" s="129">
        <v>2507</v>
      </c>
      <c r="K723" s="39" t="s">
        <v>19</v>
      </c>
    </row>
    <row r="724" ht="41" customHeight="1" spans="1:11">
      <c r="A724" s="115"/>
      <c r="B724" s="112">
        <v>13310000880001</v>
      </c>
      <c r="C724" s="67" t="s">
        <v>1718</v>
      </c>
      <c r="D724" s="37"/>
      <c r="E724" s="37"/>
      <c r="F724" s="37"/>
      <c r="G724" s="37"/>
      <c r="H724" s="67" t="s">
        <v>35</v>
      </c>
      <c r="I724" s="37"/>
      <c r="J724" s="129">
        <f t="shared" ref="J724:J728" si="30">+J723*0.2</f>
        <v>501.4</v>
      </c>
      <c r="K724" s="39" t="s">
        <v>19</v>
      </c>
    </row>
    <row r="725" ht="41" customHeight="1" spans="1:11">
      <c r="A725" s="111">
        <v>117</v>
      </c>
      <c r="B725" s="112">
        <v>13310000890000</v>
      </c>
      <c r="C725" s="67" t="s">
        <v>1719</v>
      </c>
      <c r="D725" s="67" t="s">
        <v>1720</v>
      </c>
      <c r="E725" s="67" t="s">
        <v>1518</v>
      </c>
      <c r="F725" s="67" t="s">
        <v>1721</v>
      </c>
      <c r="G725" s="37"/>
      <c r="H725" s="67" t="s">
        <v>35</v>
      </c>
      <c r="I725" s="67" t="s">
        <v>1722</v>
      </c>
      <c r="J725" s="129">
        <v>3624</v>
      </c>
      <c r="K725" s="39" t="s">
        <v>19</v>
      </c>
    </row>
    <row r="726" ht="41" customHeight="1" spans="1:11">
      <c r="A726" s="114"/>
      <c r="B726" s="112">
        <v>13310000890001</v>
      </c>
      <c r="C726" s="67" t="s">
        <v>1723</v>
      </c>
      <c r="D726" s="37"/>
      <c r="E726" s="37"/>
      <c r="F726" s="37"/>
      <c r="G726" s="37"/>
      <c r="H726" s="67" t="s">
        <v>35</v>
      </c>
      <c r="I726" s="37"/>
      <c r="J726" s="129">
        <f t="shared" si="30"/>
        <v>724.8</v>
      </c>
      <c r="K726" s="39" t="s">
        <v>19</v>
      </c>
    </row>
    <row r="727" ht="41" customHeight="1" spans="1:11">
      <c r="A727" s="114"/>
      <c r="B727" s="112">
        <v>13310000890011</v>
      </c>
      <c r="C727" s="67" t="s">
        <v>1724</v>
      </c>
      <c r="D727" s="37"/>
      <c r="E727" s="37"/>
      <c r="F727" s="37"/>
      <c r="G727" s="37"/>
      <c r="H727" s="67" t="s">
        <v>35</v>
      </c>
      <c r="I727" s="37"/>
      <c r="J727" s="129">
        <v>1326</v>
      </c>
      <c r="K727" s="39" t="s">
        <v>19</v>
      </c>
    </row>
    <row r="728" ht="41" customHeight="1" spans="1:11">
      <c r="A728" s="115"/>
      <c r="B728" s="112">
        <v>13310000890021</v>
      </c>
      <c r="C728" s="67" t="s">
        <v>1725</v>
      </c>
      <c r="D728" s="37"/>
      <c r="E728" s="37"/>
      <c r="F728" s="37"/>
      <c r="G728" s="37"/>
      <c r="H728" s="67" t="s">
        <v>35</v>
      </c>
      <c r="I728" s="37"/>
      <c r="J728" s="129">
        <f t="shared" si="30"/>
        <v>265.2</v>
      </c>
      <c r="K728" s="39" t="s">
        <v>19</v>
      </c>
    </row>
    <row r="729" ht="41" customHeight="1" spans="1:11">
      <c r="A729" s="111">
        <v>118</v>
      </c>
      <c r="B729" s="112">
        <v>13310000900000</v>
      </c>
      <c r="C729" s="67" t="s">
        <v>1726</v>
      </c>
      <c r="D729" s="67" t="s">
        <v>1727</v>
      </c>
      <c r="E729" s="67" t="s">
        <v>1518</v>
      </c>
      <c r="F729" s="67" t="s">
        <v>1728</v>
      </c>
      <c r="G729" s="37"/>
      <c r="H729" s="67" t="s">
        <v>35</v>
      </c>
      <c r="I729" s="67" t="s">
        <v>1729</v>
      </c>
      <c r="J729" s="129">
        <v>2818</v>
      </c>
      <c r="K729" s="39" t="s">
        <v>19</v>
      </c>
    </row>
    <row r="730" ht="41" customHeight="1" spans="1:11">
      <c r="A730" s="114"/>
      <c r="B730" s="112">
        <v>13310000900001</v>
      </c>
      <c r="C730" s="67" t="s">
        <v>1730</v>
      </c>
      <c r="D730" s="37"/>
      <c r="E730" s="37"/>
      <c r="F730" s="37"/>
      <c r="G730" s="37"/>
      <c r="H730" s="67" t="s">
        <v>35</v>
      </c>
      <c r="I730" s="37"/>
      <c r="J730" s="129">
        <f>+J729*0.2</f>
        <v>563.6</v>
      </c>
      <c r="K730" s="39" t="s">
        <v>19</v>
      </c>
    </row>
    <row r="731" ht="41" customHeight="1" spans="1:11">
      <c r="A731" s="114"/>
      <c r="B731" s="112">
        <v>13310000900011</v>
      </c>
      <c r="C731" s="67" t="s">
        <v>1731</v>
      </c>
      <c r="D731" s="37"/>
      <c r="E731" s="37"/>
      <c r="F731" s="37"/>
      <c r="G731" s="37"/>
      <c r="H731" s="67" t="s">
        <v>35</v>
      </c>
      <c r="I731" s="37"/>
      <c r="J731" s="129">
        <f>+J729*0.1</f>
        <v>281.8</v>
      </c>
      <c r="K731" s="39" t="s">
        <v>19</v>
      </c>
    </row>
    <row r="732" ht="41" customHeight="1" spans="1:11">
      <c r="A732" s="115"/>
      <c r="B732" s="112">
        <v>13310000900021</v>
      </c>
      <c r="C732" s="67" t="s">
        <v>1732</v>
      </c>
      <c r="D732" s="37"/>
      <c r="E732" s="37"/>
      <c r="F732" s="37"/>
      <c r="G732" s="37"/>
      <c r="H732" s="67" t="s">
        <v>35</v>
      </c>
      <c r="I732" s="37"/>
      <c r="J732" s="129">
        <f>+J729*0.2</f>
        <v>563.6</v>
      </c>
      <c r="K732" s="39" t="s">
        <v>19</v>
      </c>
    </row>
    <row r="733" ht="41" customHeight="1" spans="1:11">
      <c r="A733" s="111">
        <v>119</v>
      </c>
      <c r="B733" s="112">
        <v>13310000910000</v>
      </c>
      <c r="C733" s="67" t="s">
        <v>1733</v>
      </c>
      <c r="D733" s="67" t="s">
        <v>1734</v>
      </c>
      <c r="E733" s="67" t="s">
        <v>1735</v>
      </c>
      <c r="F733" s="37"/>
      <c r="G733" s="37"/>
      <c r="H733" s="67" t="s">
        <v>35</v>
      </c>
      <c r="I733" s="67" t="s">
        <v>1736</v>
      </c>
      <c r="J733" s="129">
        <v>4425</v>
      </c>
      <c r="K733" s="39" t="s">
        <v>19</v>
      </c>
    </row>
    <row r="734" ht="41" customHeight="1" spans="1:11">
      <c r="A734" s="115"/>
      <c r="B734" s="112">
        <v>13310000910001</v>
      </c>
      <c r="C734" s="67" t="s">
        <v>1737</v>
      </c>
      <c r="D734" s="37"/>
      <c r="E734" s="37"/>
      <c r="F734" s="37"/>
      <c r="G734" s="37"/>
      <c r="H734" s="67" t="s">
        <v>35</v>
      </c>
      <c r="I734" s="37"/>
      <c r="J734" s="129">
        <f t="shared" ref="J734:J739" si="31">+J733*0.2</f>
        <v>885</v>
      </c>
      <c r="K734" s="39" t="s">
        <v>19</v>
      </c>
    </row>
    <row r="735" ht="41" customHeight="1" spans="1:11">
      <c r="A735" s="111">
        <v>120</v>
      </c>
      <c r="B735" s="112">
        <v>13310000920000</v>
      </c>
      <c r="C735" s="67" t="s">
        <v>1738</v>
      </c>
      <c r="D735" s="67" t="s">
        <v>1739</v>
      </c>
      <c r="E735" s="67" t="s">
        <v>1740</v>
      </c>
      <c r="F735" s="67" t="s">
        <v>1420</v>
      </c>
      <c r="G735" s="37"/>
      <c r="H735" s="67" t="s">
        <v>35</v>
      </c>
      <c r="I735" s="67" t="s">
        <v>1421</v>
      </c>
      <c r="J735" s="129">
        <v>2862</v>
      </c>
      <c r="K735" s="39" t="s">
        <v>19</v>
      </c>
    </row>
    <row r="736" ht="41" customHeight="1" spans="1:11">
      <c r="A736" s="114"/>
      <c r="B736" s="112">
        <v>13310000920001</v>
      </c>
      <c r="C736" s="67" t="s">
        <v>1741</v>
      </c>
      <c r="D736" s="37"/>
      <c r="E736" s="37"/>
      <c r="F736" s="37"/>
      <c r="G736" s="37"/>
      <c r="H736" s="67" t="s">
        <v>35</v>
      </c>
      <c r="I736" s="37"/>
      <c r="J736" s="129">
        <f t="shared" si="31"/>
        <v>572.4</v>
      </c>
      <c r="K736" s="39" t="s">
        <v>19</v>
      </c>
    </row>
    <row r="737" ht="41" customHeight="1" spans="1:11">
      <c r="A737" s="115"/>
      <c r="B737" s="112">
        <v>13310000920011</v>
      </c>
      <c r="C737" s="67" t="s">
        <v>1742</v>
      </c>
      <c r="D737" s="37"/>
      <c r="E737" s="37"/>
      <c r="F737" s="37"/>
      <c r="G737" s="37"/>
      <c r="H737" s="67" t="s">
        <v>35</v>
      </c>
      <c r="I737" s="37"/>
      <c r="J737" s="129">
        <f>+J735*0.3</f>
        <v>858.6</v>
      </c>
      <c r="K737" s="39" t="s">
        <v>19</v>
      </c>
    </row>
    <row r="738" ht="41" customHeight="1" spans="1:11">
      <c r="A738" s="111">
        <v>121</v>
      </c>
      <c r="B738" s="112">
        <v>13310000930000</v>
      </c>
      <c r="C738" s="67" t="s">
        <v>1743</v>
      </c>
      <c r="D738" s="67" t="s">
        <v>1744</v>
      </c>
      <c r="E738" s="67" t="s">
        <v>1745</v>
      </c>
      <c r="F738" s="37"/>
      <c r="G738" s="37"/>
      <c r="H738" s="67" t="s">
        <v>35</v>
      </c>
      <c r="I738" s="37"/>
      <c r="J738" s="129">
        <v>2032</v>
      </c>
      <c r="K738" s="39" t="s">
        <v>19</v>
      </c>
    </row>
    <row r="739" ht="41" customHeight="1" spans="1:11">
      <c r="A739" s="115"/>
      <c r="B739" s="112">
        <v>13310000930001</v>
      </c>
      <c r="C739" s="67" t="s">
        <v>1746</v>
      </c>
      <c r="D739" s="37"/>
      <c r="E739" s="37"/>
      <c r="F739" s="37"/>
      <c r="G739" s="37"/>
      <c r="H739" s="67" t="s">
        <v>35</v>
      </c>
      <c r="I739" s="37"/>
      <c r="J739" s="129">
        <f t="shared" si="31"/>
        <v>406.4</v>
      </c>
      <c r="K739" s="39" t="s">
        <v>19</v>
      </c>
    </row>
    <row r="740" ht="41" customHeight="1" spans="1:11">
      <c r="A740" s="111">
        <v>122</v>
      </c>
      <c r="B740" s="112">
        <v>13310000940000</v>
      </c>
      <c r="C740" s="67" t="s">
        <v>1747</v>
      </c>
      <c r="D740" s="67" t="s">
        <v>1748</v>
      </c>
      <c r="E740" s="67" t="s">
        <v>1518</v>
      </c>
      <c r="F740" s="67" t="s">
        <v>1749</v>
      </c>
      <c r="G740" s="37"/>
      <c r="H740" s="67" t="s">
        <v>35</v>
      </c>
      <c r="I740" s="37"/>
      <c r="J740" s="129">
        <v>1604</v>
      </c>
      <c r="K740" s="39" t="s">
        <v>19</v>
      </c>
    </row>
    <row r="741" ht="41" customHeight="1" spans="1:11">
      <c r="A741" s="114"/>
      <c r="B741" s="112">
        <v>13310000940001</v>
      </c>
      <c r="C741" s="67" t="s">
        <v>1750</v>
      </c>
      <c r="D741" s="37"/>
      <c r="E741" s="37"/>
      <c r="F741" s="37"/>
      <c r="G741" s="37"/>
      <c r="H741" s="67" t="s">
        <v>35</v>
      </c>
      <c r="I741" s="37"/>
      <c r="J741" s="129">
        <f>+J740*0.2</f>
        <v>320.8</v>
      </c>
      <c r="K741" s="39" t="s">
        <v>19</v>
      </c>
    </row>
    <row r="742" ht="41" customHeight="1" spans="1:11">
      <c r="A742" s="114"/>
      <c r="B742" s="112">
        <v>13310000940011</v>
      </c>
      <c r="C742" s="67" t="s">
        <v>1751</v>
      </c>
      <c r="D742" s="37"/>
      <c r="E742" s="37"/>
      <c r="F742" s="37"/>
      <c r="G742" s="37"/>
      <c r="H742" s="67" t="s">
        <v>35</v>
      </c>
      <c r="I742" s="37"/>
      <c r="J742" s="129">
        <f>+J740*0.2</f>
        <v>320.8</v>
      </c>
      <c r="K742" s="39" t="s">
        <v>19</v>
      </c>
    </row>
    <row r="743" ht="41" customHeight="1" spans="1:11">
      <c r="A743" s="115"/>
      <c r="B743" s="112">
        <v>13310000940012</v>
      </c>
      <c r="C743" s="67" t="s">
        <v>1752</v>
      </c>
      <c r="D743" s="37"/>
      <c r="E743" s="37"/>
      <c r="F743" s="37"/>
      <c r="G743" s="37"/>
      <c r="H743" s="67" t="s">
        <v>35</v>
      </c>
      <c r="I743" s="37"/>
      <c r="J743" s="129">
        <f>+J740*0.5</f>
        <v>802</v>
      </c>
      <c r="K743" s="39" t="s">
        <v>19</v>
      </c>
    </row>
    <row r="744" ht="41" customHeight="1" spans="1:11">
      <c r="A744" s="111">
        <v>123</v>
      </c>
      <c r="B744" s="112">
        <v>13310000950000</v>
      </c>
      <c r="C744" s="67" t="s">
        <v>1753</v>
      </c>
      <c r="D744" s="67" t="s">
        <v>1754</v>
      </c>
      <c r="E744" s="67" t="s">
        <v>1518</v>
      </c>
      <c r="F744" s="67" t="s">
        <v>1439</v>
      </c>
      <c r="G744" s="37"/>
      <c r="H744" s="67" t="s">
        <v>35</v>
      </c>
      <c r="I744" s="67" t="s">
        <v>1401</v>
      </c>
      <c r="J744" s="129">
        <v>4200</v>
      </c>
      <c r="K744" s="39" t="s">
        <v>19</v>
      </c>
    </row>
    <row r="745" ht="41" customHeight="1" spans="1:11">
      <c r="A745" s="114"/>
      <c r="B745" s="112">
        <v>13310000950001</v>
      </c>
      <c r="C745" s="67" t="s">
        <v>1755</v>
      </c>
      <c r="D745" s="37"/>
      <c r="E745" s="37"/>
      <c r="F745" s="37"/>
      <c r="G745" s="37"/>
      <c r="H745" s="67" t="s">
        <v>35</v>
      </c>
      <c r="I745" s="37"/>
      <c r="J745" s="129">
        <f>+J744*0.2</f>
        <v>840</v>
      </c>
      <c r="K745" s="39" t="s">
        <v>19</v>
      </c>
    </row>
    <row r="746" ht="41" customHeight="1" spans="1:11">
      <c r="A746" s="115"/>
      <c r="B746" s="112">
        <v>13310000950011</v>
      </c>
      <c r="C746" s="67" t="s">
        <v>1756</v>
      </c>
      <c r="D746" s="37"/>
      <c r="E746" s="37"/>
      <c r="F746" s="37"/>
      <c r="G746" s="37"/>
      <c r="H746" s="67" t="s">
        <v>35</v>
      </c>
      <c r="I746" s="67" t="s">
        <v>1401</v>
      </c>
      <c r="J746" s="129">
        <f>+J744*0.5</f>
        <v>2100</v>
      </c>
      <c r="K746" s="39" t="s">
        <v>19</v>
      </c>
    </row>
    <row r="747" ht="41" customHeight="1" spans="1:11">
      <c r="A747" s="111">
        <v>124</v>
      </c>
      <c r="B747" s="112">
        <v>13310000960000</v>
      </c>
      <c r="C747" s="67" t="s">
        <v>1757</v>
      </c>
      <c r="D747" s="67" t="s">
        <v>1758</v>
      </c>
      <c r="E747" s="67" t="s">
        <v>1518</v>
      </c>
      <c r="F747" s="67" t="s">
        <v>1759</v>
      </c>
      <c r="G747" s="37"/>
      <c r="H747" s="67" t="s">
        <v>35</v>
      </c>
      <c r="I747" s="67" t="s">
        <v>1760</v>
      </c>
      <c r="J747" s="129">
        <v>3947</v>
      </c>
      <c r="K747" s="39" t="s">
        <v>19</v>
      </c>
    </row>
    <row r="748" ht="41" customHeight="1" spans="1:11">
      <c r="A748" s="114"/>
      <c r="B748" s="112">
        <v>13310000960001</v>
      </c>
      <c r="C748" s="67" t="s">
        <v>1761</v>
      </c>
      <c r="D748" s="37"/>
      <c r="E748" s="37"/>
      <c r="F748" s="37"/>
      <c r="G748" s="37"/>
      <c r="H748" s="67" t="s">
        <v>35</v>
      </c>
      <c r="I748" s="37"/>
      <c r="J748" s="129">
        <f t="shared" ref="J748:J753" si="32">+J747*0.2</f>
        <v>789.4</v>
      </c>
      <c r="K748" s="39" t="s">
        <v>19</v>
      </c>
    </row>
    <row r="749" ht="41" customHeight="1" spans="1:11">
      <c r="A749" s="115"/>
      <c r="B749" s="112">
        <v>13310000960011</v>
      </c>
      <c r="C749" s="67" t="s">
        <v>1762</v>
      </c>
      <c r="D749" s="37"/>
      <c r="E749" s="37"/>
      <c r="F749" s="37"/>
      <c r="G749" s="37"/>
      <c r="H749" s="67" t="s">
        <v>35</v>
      </c>
      <c r="I749" s="37"/>
      <c r="J749" s="129">
        <f>+J747*0.2</f>
        <v>789.4</v>
      </c>
      <c r="K749" s="39" t="s">
        <v>19</v>
      </c>
    </row>
    <row r="750" ht="41" customHeight="1" spans="1:11">
      <c r="A750" s="111">
        <v>125</v>
      </c>
      <c r="B750" s="112">
        <v>13310000970000</v>
      </c>
      <c r="C750" s="67" t="s">
        <v>1763</v>
      </c>
      <c r="D750" s="67" t="s">
        <v>1764</v>
      </c>
      <c r="E750" s="67" t="s">
        <v>1765</v>
      </c>
      <c r="F750" s="37"/>
      <c r="G750" s="37"/>
      <c r="H750" s="67" t="s">
        <v>35</v>
      </c>
      <c r="I750" s="37"/>
      <c r="J750" s="129">
        <v>672</v>
      </c>
      <c r="K750" s="39" t="s">
        <v>19</v>
      </c>
    </row>
    <row r="751" ht="41" customHeight="1" spans="1:11">
      <c r="A751" s="115"/>
      <c r="B751" s="112">
        <v>13310000970001</v>
      </c>
      <c r="C751" s="67" t="s">
        <v>1766</v>
      </c>
      <c r="D751" s="37"/>
      <c r="E751" s="37"/>
      <c r="F751" s="37"/>
      <c r="G751" s="37"/>
      <c r="H751" s="67" t="s">
        <v>35</v>
      </c>
      <c r="I751" s="37"/>
      <c r="J751" s="129">
        <f t="shared" si="32"/>
        <v>134.4</v>
      </c>
      <c r="K751" s="39" t="s">
        <v>19</v>
      </c>
    </row>
    <row r="752" ht="41" customHeight="1" spans="1:11">
      <c r="A752" s="111">
        <v>126</v>
      </c>
      <c r="B752" s="112">
        <v>13310000980000</v>
      </c>
      <c r="C752" s="67" t="s">
        <v>1767</v>
      </c>
      <c r="D752" s="67" t="s">
        <v>1768</v>
      </c>
      <c r="E752" s="67" t="s">
        <v>1769</v>
      </c>
      <c r="F752" s="37"/>
      <c r="G752" s="37"/>
      <c r="H752" s="67" t="s">
        <v>35</v>
      </c>
      <c r="I752" s="67" t="s">
        <v>1770</v>
      </c>
      <c r="J752" s="129">
        <v>1615</v>
      </c>
      <c r="K752" s="39" t="s">
        <v>19</v>
      </c>
    </row>
    <row r="753" ht="41" customHeight="1" spans="1:11">
      <c r="A753" s="115"/>
      <c r="B753" s="112">
        <v>13310000980001</v>
      </c>
      <c r="C753" s="67" t="s">
        <v>1771</v>
      </c>
      <c r="D753" s="37"/>
      <c r="E753" s="37"/>
      <c r="F753" s="37"/>
      <c r="G753" s="37"/>
      <c r="H753" s="67" t="s">
        <v>35</v>
      </c>
      <c r="I753" s="37"/>
      <c r="J753" s="129">
        <f t="shared" si="32"/>
        <v>323</v>
      </c>
      <c r="K753" s="39" t="s">
        <v>19</v>
      </c>
    </row>
    <row r="754" ht="41" customHeight="1" spans="1:11">
      <c r="A754" s="111">
        <v>127</v>
      </c>
      <c r="B754" s="112">
        <v>13310000990000</v>
      </c>
      <c r="C754" s="67" t="s">
        <v>1772</v>
      </c>
      <c r="D754" s="67" t="s">
        <v>1773</v>
      </c>
      <c r="E754" s="67" t="s">
        <v>1774</v>
      </c>
      <c r="F754" s="37"/>
      <c r="G754" s="37"/>
      <c r="H754" s="67" t="s">
        <v>35</v>
      </c>
      <c r="I754" s="37"/>
      <c r="J754" s="129">
        <v>809</v>
      </c>
      <c r="K754" s="39" t="s">
        <v>40</v>
      </c>
    </row>
    <row r="755" ht="41" customHeight="1" spans="1:11">
      <c r="A755" s="115"/>
      <c r="B755" s="112">
        <v>13310000990001</v>
      </c>
      <c r="C755" s="67" t="s">
        <v>1775</v>
      </c>
      <c r="D755" s="37"/>
      <c r="E755" s="37"/>
      <c r="F755" s="37"/>
      <c r="G755" s="37"/>
      <c r="H755" s="67" t="s">
        <v>35</v>
      </c>
      <c r="I755" s="37"/>
      <c r="J755" s="129">
        <f t="shared" ref="J755:J759" si="33">+J754*0.2</f>
        <v>161.8</v>
      </c>
      <c r="K755" s="39" t="s">
        <v>40</v>
      </c>
    </row>
    <row r="756" ht="41" customHeight="1" spans="1:11">
      <c r="A756" s="111">
        <v>128</v>
      </c>
      <c r="B756" s="112">
        <v>13310001000000</v>
      </c>
      <c r="C756" s="67" t="s">
        <v>1776</v>
      </c>
      <c r="D756" s="67" t="s">
        <v>1777</v>
      </c>
      <c r="E756" s="67" t="s">
        <v>1778</v>
      </c>
      <c r="F756" s="37"/>
      <c r="G756" s="37"/>
      <c r="H756" s="67" t="s">
        <v>35</v>
      </c>
      <c r="I756" s="67" t="s">
        <v>1779</v>
      </c>
      <c r="J756" s="129">
        <v>2169</v>
      </c>
      <c r="K756" s="39" t="s">
        <v>40</v>
      </c>
    </row>
    <row r="757" ht="41" customHeight="1" spans="1:11">
      <c r="A757" s="115"/>
      <c r="B757" s="112">
        <v>13310001000001</v>
      </c>
      <c r="C757" s="67" t="s">
        <v>1780</v>
      </c>
      <c r="D757" s="37"/>
      <c r="E757" s="37"/>
      <c r="F757" s="37"/>
      <c r="G757" s="37"/>
      <c r="H757" s="67" t="s">
        <v>35</v>
      </c>
      <c r="I757" s="37"/>
      <c r="J757" s="129">
        <f t="shared" si="33"/>
        <v>433.8</v>
      </c>
      <c r="K757" s="39" t="s">
        <v>40</v>
      </c>
    </row>
    <row r="758" ht="41" customHeight="1" spans="1:11">
      <c r="A758" s="111">
        <v>129</v>
      </c>
      <c r="B758" s="112">
        <v>13310001010000</v>
      </c>
      <c r="C758" s="67" t="s">
        <v>1781</v>
      </c>
      <c r="D758" s="67" t="s">
        <v>1782</v>
      </c>
      <c r="E758" s="67" t="s">
        <v>1783</v>
      </c>
      <c r="F758" s="37"/>
      <c r="G758" s="37"/>
      <c r="H758" s="67" t="s">
        <v>35</v>
      </c>
      <c r="I758" s="67" t="s">
        <v>1784</v>
      </c>
      <c r="J758" s="129">
        <v>2557</v>
      </c>
      <c r="K758" s="39" t="s">
        <v>19</v>
      </c>
    </row>
    <row r="759" ht="41" customHeight="1" spans="1:11">
      <c r="A759" s="115"/>
      <c r="B759" s="112">
        <v>13310001010001</v>
      </c>
      <c r="C759" s="67" t="s">
        <v>1785</v>
      </c>
      <c r="D759" s="37"/>
      <c r="E759" s="37"/>
      <c r="F759" s="37"/>
      <c r="G759" s="37"/>
      <c r="H759" s="67" t="s">
        <v>35</v>
      </c>
      <c r="I759" s="37"/>
      <c r="J759" s="129">
        <f t="shared" si="33"/>
        <v>511.4</v>
      </c>
      <c r="K759" s="39" t="s">
        <v>19</v>
      </c>
    </row>
    <row r="760" ht="41" customHeight="1" spans="1:11">
      <c r="A760" s="111">
        <v>130</v>
      </c>
      <c r="B760" s="112">
        <v>13310001020000</v>
      </c>
      <c r="C760" s="67" t="s">
        <v>1786</v>
      </c>
      <c r="D760" s="67" t="s">
        <v>1787</v>
      </c>
      <c r="E760" s="67" t="s">
        <v>1740</v>
      </c>
      <c r="F760" s="37"/>
      <c r="G760" s="37"/>
      <c r="H760" s="67" t="s">
        <v>35</v>
      </c>
      <c r="I760" s="67" t="s">
        <v>1788</v>
      </c>
      <c r="J760" s="129">
        <v>3353</v>
      </c>
      <c r="K760" s="39" t="s">
        <v>19</v>
      </c>
    </row>
    <row r="761" ht="41" customHeight="1" spans="1:11">
      <c r="A761" s="115"/>
      <c r="B761" s="112">
        <v>13310001020001</v>
      </c>
      <c r="C761" s="67" t="s">
        <v>1789</v>
      </c>
      <c r="D761" s="37"/>
      <c r="E761" s="37"/>
      <c r="F761" s="37"/>
      <c r="G761" s="37"/>
      <c r="H761" s="67" t="s">
        <v>35</v>
      </c>
      <c r="I761" s="37"/>
      <c r="J761" s="129">
        <f t="shared" ref="J761:J765" si="34">+J760*0.2</f>
        <v>670.6</v>
      </c>
      <c r="K761" s="39" t="s">
        <v>19</v>
      </c>
    </row>
    <row r="762" ht="41" customHeight="1" spans="1:11">
      <c r="A762" s="111">
        <v>131</v>
      </c>
      <c r="B762" s="112">
        <v>13310001030000</v>
      </c>
      <c r="C762" s="67" t="s">
        <v>1790</v>
      </c>
      <c r="D762" s="67" t="s">
        <v>1791</v>
      </c>
      <c r="E762" s="67" t="s">
        <v>1792</v>
      </c>
      <c r="F762" s="37"/>
      <c r="G762" s="37"/>
      <c r="H762" s="67" t="s">
        <v>35</v>
      </c>
      <c r="I762" s="67" t="s">
        <v>1793</v>
      </c>
      <c r="J762" s="129">
        <v>4183</v>
      </c>
      <c r="K762" s="39" t="s">
        <v>47</v>
      </c>
    </row>
    <row r="763" ht="41" customHeight="1" spans="1:11">
      <c r="A763" s="115"/>
      <c r="B763" s="112">
        <v>13310001030001</v>
      </c>
      <c r="C763" s="67" t="s">
        <v>1794</v>
      </c>
      <c r="D763" s="37"/>
      <c r="E763" s="37"/>
      <c r="F763" s="37"/>
      <c r="G763" s="37"/>
      <c r="H763" s="67" t="s">
        <v>35</v>
      </c>
      <c r="I763" s="37"/>
      <c r="J763" s="129">
        <f t="shared" si="34"/>
        <v>836.6</v>
      </c>
      <c r="K763" s="39" t="s">
        <v>47</v>
      </c>
    </row>
    <row r="764" ht="41" customHeight="1" spans="1:11">
      <c r="A764" s="111">
        <v>132</v>
      </c>
      <c r="B764" s="112">
        <v>13310001040000</v>
      </c>
      <c r="C764" s="67" t="s">
        <v>1795</v>
      </c>
      <c r="D764" s="67" t="s">
        <v>1796</v>
      </c>
      <c r="E764" s="67" t="s">
        <v>1426</v>
      </c>
      <c r="F764" s="67" t="s">
        <v>1759</v>
      </c>
      <c r="G764" s="37"/>
      <c r="H764" s="67" t="s">
        <v>35</v>
      </c>
      <c r="I764" s="37"/>
      <c r="J764" s="129">
        <v>5900</v>
      </c>
      <c r="K764" s="39" t="s">
        <v>19</v>
      </c>
    </row>
    <row r="765" ht="41" customHeight="1" spans="1:11">
      <c r="A765" s="114"/>
      <c r="B765" s="112">
        <v>13310001040001</v>
      </c>
      <c r="C765" s="67" t="s">
        <v>1797</v>
      </c>
      <c r="D765" s="37"/>
      <c r="E765" s="37"/>
      <c r="F765" s="37"/>
      <c r="G765" s="37"/>
      <c r="H765" s="67" t="s">
        <v>35</v>
      </c>
      <c r="I765" s="37"/>
      <c r="J765" s="129">
        <f t="shared" si="34"/>
        <v>1180</v>
      </c>
      <c r="K765" s="39" t="s">
        <v>19</v>
      </c>
    </row>
    <row r="766" ht="41" customHeight="1" spans="1:11">
      <c r="A766" s="115"/>
      <c r="B766" s="112">
        <v>13310001040011</v>
      </c>
      <c r="C766" s="67" t="s">
        <v>1798</v>
      </c>
      <c r="D766" s="37"/>
      <c r="E766" s="37"/>
      <c r="F766" s="37"/>
      <c r="G766" s="37"/>
      <c r="H766" s="67" t="s">
        <v>35</v>
      </c>
      <c r="I766" s="37"/>
      <c r="J766" s="129">
        <f>+J764*0.2</f>
        <v>1180</v>
      </c>
      <c r="K766" s="39" t="s">
        <v>19</v>
      </c>
    </row>
    <row r="767" ht="41" customHeight="1" spans="1:11">
      <c r="A767" s="111">
        <v>133</v>
      </c>
      <c r="B767" s="112">
        <v>13310001050000</v>
      </c>
      <c r="C767" s="67" t="s">
        <v>1799</v>
      </c>
      <c r="D767" s="67" t="s">
        <v>1800</v>
      </c>
      <c r="E767" s="67" t="s">
        <v>1426</v>
      </c>
      <c r="F767" s="37"/>
      <c r="G767" s="37"/>
      <c r="H767" s="67" t="s">
        <v>35</v>
      </c>
      <c r="I767" s="37"/>
      <c r="J767" s="129">
        <v>5900</v>
      </c>
      <c r="K767" s="39" t="s">
        <v>19</v>
      </c>
    </row>
    <row r="768" ht="41" customHeight="1" spans="1:11">
      <c r="A768" s="115"/>
      <c r="B768" s="112">
        <v>13310001050001</v>
      </c>
      <c r="C768" s="67" t="s">
        <v>1801</v>
      </c>
      <c r="D768" s="37"/>
      <c r="E768" s="37"/>
      <c r="F768" s="37"/>
      <c r="G768" s="37"/>
      <c r="H768" s="67" t="s">
        <v>35</v>
      </c>
      <c r="I768" s="37"/>
      <c r="J768" s="129">
        <f t="shared" ref="J768:J773" si="35">+J767*0.2</f>
        <v>1180</v>
      </c>
      <c r="K768" s="39" t="s">
        <v>19</v>
      </c>
    </row>
    <row r="769" ht="41" customHeight="1" spans="1:11">
      <c r="A769" s="111">
        <v>134</v>
      </c>
      <c r="B769" s="112">
        <v>13310001060000</v>
      </c>
      <c r="C769" s="67" t="s">
        <v>1802</v>
      </c>
      <c r="D769" s="67" t="s">
        <v>1803</v>
      </c>
      <c r="E769" s="67" t="s">
        <v>1518</v>
      </c>
      <c r="F769" s="67" t="s">
        <v>1439</v>
      </c>
      <c r="G769" s="37"/>
      <c r="H769" s="67" t="s">
        <v>35</v>
      </c>
      <c r="I769" s="67" t="s">
        <v>1401</v>
      </c>
      <c r="J769" s="129">
        <v>4386</v>
      </c>
      <c r="K769" s="39" t="s">
        <v>19</v>
      </c>
    </row>
    <row r="770" ht="41" customHeight="1" spans="1:11">
      <c r="A770" s="114"/>
      <c r="B770" s="112">
        <v>13310001060001</v>
      </c>
      <c r="C770" s="67" t="s">
        <v>1804</v>
      </c>
      <c r="D770" s="37"/>
      <c r="E770" s="37"/>
      <c r="F770" s="37"/>
      <c r="G770" s="37"/>
      <c r="H770" s="67" t="s">
        <v>35</v>
      </c>
      <c r="I770" s="37"/>
      <c r="J770" s="129">
        <f t="shared" si="35"/>
        <v>877.2</v>
      </c>
      <c r="K770" s="39" t="s">
        <v>19</v>
      </c>
    </row>
    <row r="771" ht="41" customHeight="1" spans="1:11">
      <c r="A771" s="115"/>
      <c r="B771" s="112">
        <v>13310001060011</v>
      </c>
      <c r="C771" s="67" t="s">
        <v>1805</v>
      </c>
      <c r="D771" s="37"/>
      <c r="E771" s="37"/>
      <c r="F771" s="37"/>
      <c r="G771" s="37"/>
      <c r="H771" s="67" t="s">
        <v>35</v>
      </c>
      <c r="I771" s="67" t="s">
        <v>1401</v>
      </c>
      <c r="J771" s="129">
        <f>+J769*0.5</f>
        <v>2193</v>
      </c>
      <c r="K771" s="39" t="s">
        <v>19</v>
      </c>
    </row>
    <row r="772" ht="41" customHeight="1" spans="1:11">
      <c r="A772" s="111">
        <v>135</v>
      </c>
      <c r="B772" s="112">
        <v>13310001070000</v>
      </c>
      <c r="C772" s="67" t="s">
        <v>1806</v>
      </c>
      <c r="D772" s="67" t="s">
        <v>1807</v>
      </c>
      <c r="E772" s="67" t="s">
        <v>1518</v>
      </c>
      <c r="F772" s="67" t="s">
        <v>1808</v>
      </c>
      <c r="G772" s="37"/>
      <c r="H772" s="67" t="s">
        <v>35</v>
      </c>
      <c r="I772" s="37"/>
      <c r="J772" s="129">
        <v>5000</v>
      </c>
      <c r="K772" s="39" t="s">
        <v>19</v>
      </c>
    </row>
    <row r="773" ht="41" customHeight="1" spans="1:11">
      <c r="A773" s="114"/>
      <c r="B773" s="112">
        <v>13310001070001</v>
      </c>
      <c r="C773" s="67" t="s">
        <v>1809</v>
      </c>
      <c r="D773" s="37"/>
      <c r="E773" s="37"/>
      <c r="F773" s="37"/>
      <c r="G773" s="37"/>
      <c r="H773" s="67" t="s">
        <v>35</v>
      </c>
      <c r="I773" s="37"/>
      <c r="J773" s="129">
        <f t="shared" si="35"/>
        <v>1000</v>
      </c>
      <c r="K773" s="39" t="s">
        <v>19</v>
      </c>
    </row>
    <row r="774" ht="41" customHeight="1" spans="1:11">
      <c r="A774" s="115"/>
      <c r="B774" s="112">
        <v>13310001070011</v>
      </c>
      <c r="C774" s="67" t="s">
        <v>1810</v>
      </c>
      <c r="D774" s="37"/>
      <c r="E774" s="37"/>
      <c r="F774" s="37"/>
      <c r="G774" s="37"/>
      <c r="H774" s="67" t="s">
        <v>35</v>
      </c>
      <c r="I774" s="37"/>
      <c r="J774" s="129">
        <f>+J772*0.2</f>
        <v>1000</v>
      </c>
      <c r="K774" s="39" t="s">
        <v>19</v>
      </c>
    </row>
    <row r="775" ht="41" customHeight="1" spans="1:11">
      <c r="A775" s="111">
        <v>136</v>
      </c>
      <c r="B775" s="112">
        <v>13310001080000</v>
      </c>
      <c r="C775" s="67" t="s">
        <v>1811</v>
      </c>
      <c r="D775" s="67" t="s">
        <v>1812</v>
      </c>
      <c r="E775" s="67" t="s">
        <v>1518</v>
      </c>
      <c r="F775" s="37"/>
      <c r="G775" s="37"/>
      <c r="H775" s="67" t="s">
        <v>35</v>
      </c>
      <c r="I775" s="37"/>
      <c r="J775" s="129">
        <v>2565</v>
      </c>
      <c r="K775" s="39" t="s">
        <v>19</v>
      </c>
    </row>
    <row r="776" ht="41" customHeight="1" spans="1:11">
      <c r="A776" s="115"/>
      <c r="B776" s="112">
        <v>13310001080001</v>
      </c>
      <c r="C776" s="67" t="s">
        <v>1813</v>
      </c>
      <c r="D776" s="37"/>
      <c r="E776" s="37"/>
      <c r="F776" s="37"/>
      <c r="G776" s="37"/>
      <c r="H776" s="67" t="s">
        <v>35</v>
      </c>
      <c r="I776" s="37"/>
      <c r="J776" s="129">
        <f t="shared" ref="J776:J780" si="36">+J775*0.2</f>
        <v>513</v>
      </c>
      <c r="K776" s="39" t="s">
        <v>19</v>
      </c>
    </row>
    <row r="777" ht="41" customHeight="1" spans="1:11">
      <c r="A777" s="111">
        <v>137</v>
      </c>
      <c r="B777" s="112">
        <v>13310001090000</v>
      </c>
      <c r="C777" s="67" t="s">
        <v>1814</v>
      </c>
      <c r="D777" s="67" t="s">
        <v>1815</v>
      </c>
      <c r="E777" s="67" t="s">
        <v>1426</v>
      </c>
      <c r="F777" s="37"/>
      <c r="G777" s="37"/>
      <c r="H777" s="67" t="s">
        <v>35</v>
      </c>
      <c r="I777" s="37"/>
      <c r="J777" s="129">
        <v>4050</v>
      </c>
      <c r="K777" s="39" t="s">
        <v>19</v>
      </c>
    </row>
    <row r="778" ht="41" customHeight="1" spans="1:11">
      <c r="A778" s="115"/>
      <c r="B778" s="112">
        <v>13310001090001</v>
      </c>
      <c r="C778" s="67" t="s">
        <v>1816</v>
      </c>
      <c r="D778" s="37"/>
      <c r="E778" s="37"/>
      <c r="F778" s="37"/>
      <c r="G778" s="37"/>
      <c r="H778" s="67" t="s">
        <v>35</v>
      </c>
      <c r="I778" s="37"/>
      <c r="J778" s="129">
        <f t="shared" si="36"/>
        <v>810</v>
      </c>
      <c r="K778" s="39" t="s">
        <v>19</v>
      </c>
    </row>
    <row r="779" ht="41" customHeight="1" spans="1:11">
      <c r="A779" s="111">
        <v>138</v>
      </c>
      <c r="B779" s="112">
        <v>13310001100000</v>
      </c>
      <c r="C779" s="67" t="s">
        <v>1817</v>
      </c>
      <c r="D779" s="67" t="s">
        <v>1818</v>
      </c>
      <c r="E779" s="67" t="s">
        <v>1819</v>
      </c>
      <c r="F779" s="67" t="s">
        <v>1759</v>
      </c>
      <c r="G779" s="37"/>
      <c r="H779" s="67" t="s">
        <v>35</v>
      </c>
      <c r="I779" s="37"/>
      <c r="J779" s="129">
        <v>4547</v>
      </c>
      <c r="K779" s="39" t="s">
        <v>19</v>
      </c>
    </row>
    <row r="780" ht="41" customHeight="1" spans="1:11">
      <c r="A780" s="114"/>
      <c r="B780" s="112">
        <v>13310001100001</v>
      </c>
      <c r="C780" s="67" t="s">
        <v>1820</v>
      </c>
      <c r="D780" s="37"/>
      <c r="E780" s="37"/>
      <c r="F780" s="37"/>
      <c r="G780" s="37"/>
      <c r="H780" s="67" t="s">
        <v>35</v>
      </c>
      <c r="I780" s="37"/>
      <c r="J780" s="129">
        <f t="shared" si="36"/>
        <v>909.4</v>
      </c>
      <c r="K780" s="39" t="s">
        <v>19</v>
      </c>
    </row>
    <row r="781" ht="41" customHeight="1" spans="1:11">
      <c r="A781" s="115"/>
      <c r="B781" s="112">
        <v>13310001100011</v>
      </c>
      <c r="C781" s="67" t="s">
        <v>1821</v>
      </c>
      <c r="D781" s="37"/>
      <c r="E781" s="37"/>
      <c r="F781" s="37"/>
      <c r="G781" s="37"/>
      <c r="H781" s="67" t="s">
        <v>35</v>
      </c>
      <c r="I781" s="37"/>
      <c r="J781" s="129">
        <f>+J779*0.2</f>
        <v>909.4</v>
      </c>
      <c r="K781" s="39" t="s">
        <v>19</v>
      </c>
    </row>
    <row r="782" ht="41" customHeight="1" spans="1:11">
      <c r="A782" s="111">
        <v>139</v>
      </c>
      <c r="B782" s="112">
        <v>13310001110000</v>
      </c>
      <c r="C782" s="67" t="s">
        <v>1822</v>
      </c>
      <c r="D782" s="67" t="s">
        <v>1823</v>
      </c>
      <c r="E782" s="67" t="s">
        <v>1740</v>
      </c>
      <c r="F782" s="67" t="s">
        <v>1420</v>
      </c>
      <c r="G782" s="37"/>
      <c r="H782" s="67" t="s">
        <v>35</v>
      </c>
      <c r="I782" s="67" t="s">
        <v>1421</v>
      </c>
      <c r="J782" s="129">
        <v>2122</v>
      </c>
      <c r="K782" s="39" t="s">
        <v>19</v>
      </c>
    </row>
    <row r="783" ht="41" customHeight="1" spans="1:11">
      <c r="A783" s="114"/>
      <c r="B783" s="112">
        <v>13310001110001</v>
      </c>
      <c r="C783" s="67" t="s">
        <v>1824</v>
      </c>
      <c r="D783" s="37"/>
      <c r="E783" s="37"/>
      <c r="F783" s="37"/>
      <c r="G783" s="37"/>
      <c r="H783" s="67" t="s">
        <v>35</v>
      </c>
      <c r="I783" s="37"/>
      <c r="J783" s="129">
        <f t="shared" ref="J783:J788" si="37">+J782*0.2</f>
        <v>424.4</v>
      </c>
      <c r="K783" s="39" t="s">
        <v>19</v>
      </c>
    </row>
    <row r="784" ht="41" customHeight="1" spans="1:11">
      <c r="A784" s="115"/>
      <c r="B784" s="112">
        <v>13310001110011</v>
      </c>
      <c r="C784" s="67" t="s">
        <v>1825</v>
      </c>
      <c r="D784" s="37"/>
      <c r="E784" s="37"/>
      <c r="F784" s="37"/>
      <c r="G784" s="37"/>
      <c r="H784" s="67" t="s">
        <v>35</v>
      </c>
      <c r="I784" s="37"/>
      <c r="J784" s="129">
        <f>+J782*0.3</f>
        <v>636.6</v>
      </c>
      <c r="K784" s="39" t="s">
        <v>19</v>
      </c>
    </row>
    <row r="785" ht="41" customHeight="1" spans="1:11">
      <c r="A785" s="111">
        <v>140</v>
      </c>
      <c r="B785" s="112">
        <v>13310001120000</v>
      </c>
      <c r="C785" s="67" t="s">
        <v>1826</v>
      </c>
      <c r="D785" s="67" t="s">
        <v>1827</v>
      </c>
      <c r="E785" s="67" t="s">
        <v>1828</v>
      </c>
      <c r="F785" s="37"/>
      <c r="G785" s="37"/>
      <c r="H785" s="67" t="s">
        <v>35</v>
      </c>
      <c r="I785" s="37"/>
      <c r="J785" s="129">
        <v>2967</v>
      </c>
      <c r="K785" s="39" t="s">
        <v>19</v>
      </c>
    </row>
    <row r="786" ht="41" customHeight="1" spans="1:11">
      <c r="A786" s="115"/>
      <c r="B786" s="112">
        <v>13310001120001</v>
      </c>
      <c r="C786" s="67" t="s">
        <v>1829</v>
      </c>
      <c r="D786" s="37"/>
      <c r="E786" s="37"/>
      <c r="F786" s="37"/>
      <c r="G786" s="37"/>
      <c r="H786" s="67" t="s">
        <v>35</v>
      </c>
      <c r="I786" s="37"/>
      <c r="J786" s="129">
        <f t="shared" si="37"/>
        <v>593.4</v>
      </c>
      <c r="K786" s="39" t="s">
        <v>19</v>
      </c>
    </row>
    <row r="787" ht="41" customHeight="1" spans="1:11">
      <c r="A787" s="111">
        <v>141</v>
      </c>
      <c r="B787" s="112">
        <v>13310001130000</v>
      </c>
      <c r="C787" s="67" t="s">
        <v>1830</v>
      </c>
      <c r="D787" s="67" t="s">
        <v>1831</v>
      </c>
      <c r="E787" s="67" t="s">
        <v>1832</v>
      </c>
      <c r="F787" s="37"/>
      <c r="G787" s="37"/>
      <c r="H787" s="67" t="s">
        <v>35</v>
      </c>
      <c r="I787" s="37"/>
      <c r="J787" s="129">
        <v>3049</v>
      </c>
      <c r="K787" s="39" t="s">
        <v>19</v>
      </c>
    </row>
    <row r="788" ht="41" customHeight="1" spans="1:11">
      <c r="A788" s="115"/>
      <c r="B788" s="112">
        <v>13310001130001</v>
      </c>
      <c r="C788" s="67" t="s">
        <v>1833</v>
      </c>
      <c r="D788" s="37"/>
      <c r="E788" s="37"/>
      <c r="F788" s="37"/>
      <c r="G788" s="37"/>
      <c r="H788" s="67" t="s">
        <v>35</v>
      </c>
      <c r="I788" s="37"/>
      <c r="J788" s="129">
        <f t="shared" si="37"/>
        <v>609.8</v>
      </c>
      <c r="K788" s="39" t="s">
        <v>19</v>
      </c>
    </row>
    <row r="789" ht="41" customHeight="1" spans="1:11">
      <c r="A789" s="111">
        <v>142</v>
      </c>
      <c r="B789" s="112">
        <v>13310001140000</v>
      </c>
      <c r="C789" s="67" t="s">
        <v>1834</v>
      </c>
      <c r="D789" s="67" t="s">
        <v>1835</v>
      </c>
      <c r="E789" s="67" t="s">
        <v>1518</v>
      </c>
      <c r="F789" s="37"/>
      <c r="G789" s="37"/>
      <c r="H789" s="67" t="s">
        <v>35</v>
      </c>
      <c r="I789" s="37"/>
      <c r="J789" s="129">
        <v>2421</v>
      </c>
      <c r="K789" s="39" t="s">
        <v>19</v>
      </c>
    </row>
    <row r="790" ht="41" customHeight="1" spans="1:11">
      <c r="A790" s="115"/>
      <c r="B790" s="112">
        <v>13310001140001</v>
      </c>
      <c r="C790" s="67" t="s">
        <v>1836</v>
      </c>
      <c r="D790" s="37"/>
      <c r="E790" s="37"/>
      <c r="F790" s="37"/>
      <c r="G790" s="37"/>
      <c r="H790" s="67" t="s">
        <v>35</v>
      </c>
      <c r="I790" s="37"/>
      <c r="J790" s="129">
        <f>+J789*0.2</f>
        <v>484.2</v>
      </c>
      <c r="K790" s="39" t="s">
        <v>19</v>
      </c>
    </row>
    <row r="791" ht="41" customHeight="1" spans="1:11">
      <c r="A791" s="111">
        <v>143</v>
      </c>
      <c r="B791" s="112">
        <v>13310001150000</v>
      </c>
      <c r="C791" s="67" t="s">
        <v>1837</v>
      </c>
      <c r="D791" s="67" t="s">
        <v>1838</v>
      </c>
      <c r="E791" s="67" t="s">
        <v>1518</v>
      </c>
      <c r="F791" s="67" t="s">
        <v>1839</v>
      </c>
      <c r="G791" s="67" t="s">
        <v>1840</v>
      </c>
      <c r="H791" s="67" t="s">
        <v>35</v>
      </c>
      <c r="I791" s="37"/>
      <c r="J791" s="129">
        <v>2303</v>
      </c>
      <c r="K791" s="39" t="s">
        <v>19</v>
      </c>
    </row>
    <row r="792" ht="41" customHeight="1" spans="1:11">
      <c r="A792" s="114"/>
      <c r="B792" s="112">
        <v>13310001150001</v>
      </c>
      <c r="C792" s="67" t="s">
        <v>1841</v>
      </c>
      <c r="D792" s="37"/>
      <c r="E792" s="37"/>
      <c r="F792" s="37"/>
      <c r="G792" s="37"/>
      <c r="H792" s="67" t="s">
        <v>35</v>
      </c>
      <c r="I792" s="37"/>
      <c r="J792" s="129">
        <f>+J791*0.2</f>
        <v>460.6</v>
      </c>
      <c r="K792" s="39" t="s">
        <v>19</v>
      </c>
    </row>
    <row r="793" ht="41" customHeight="1" spans="1:11">
      <c r="A793" s="114"/>
      <c r="B793" s="112">
        <v>13310001150011</v>
      </c>
      <c r="C793" s="67" t="s">
        <v>1842</v>
      </c>
      <c r="D793" s="37"/>
      <c r="E793" s="37"/>
      <c r="F793" s="37"/>
      <c r="G793" s="37"/>
      <c r="H793" s="67" t="s">
        <v>35</v>
      </c>
      <c r="I793" s="37"/>
      <c r="J793" s="129">
        <f>+J791*0.2</f>
        <v>460.6</v>
      </c>
      <c r="K793" s="39" t="s">
        <v>19</v>
      </c>
    </row>
    <row r="794" ht="41" customHeight="1" spans="1:11">
      <c r="A794" s="115"/>
      <c r="B794" s="112">
        <v>13310001150100</v>
      </c>
      <c r="C794" s="67" t="s">
        <v>1843</v>
      </c>
      <c r="D794" s="37"/>
      <c r="E794" s="37"/>
      <c r="F794" s="37"/>
      <c r="G794" s="37"/>
      <c r="H794" s="67" t="s">
        <v>35</v>
      </c>
      <c r="I794" s="37"/>
      <c r="J794" s="129">
        <v>2303</v>
      </c>
      <c r="K794" s="39" t="s">
        <v>19</v>
      </c>
    </row>
    <row r="795" ht="41" customHeight="1" spans="1:11">
      <c r="A795" s="111">
        <v>144</v>
      </c>
      <c r="B795" s="112">
        <v>13310001160000</v>
      </c>
      <c r="C795" s="67" t="s">
        <v>1844</v>
      </c>
      <c r="D795" s="67" t="s">
        <v>1845</v>
      </c>
      <c r="E795" s="67" t="s">
        <v>1846</v>
      </c>
      <c r="F795" s="37"/>
      <c r="G795" s="67" t="s">
        <v>1847</v>
      </c>
      <c r="H795" s="67" t="s">
        <v>35</v>
      </c>
      <c r="I795" s="67" t="s">
        <v>1848</v>
      </c>
      <c r="J795" s="129">
        <v>4428</v>
      </c>
      <c r="K795" s="39" t="s">
        <v>40</v>
      </c>
    </row>
    <row r="796" ht="41" customHeight="1" spans="1:11">
      <c r="A796" s="114"/>
      <c r="B796" s="112">
        <v>13310001160001</v>
      </c>
      <c r="C796" s="67" t="s">
        <v>1849</v>
      </c>
      <c r="D796" s="37"/>
      <c r="E796" s="37"/>
      <c r="F796" s="37"/>
      <c r="G796" s="37"/>
      <c r="H796" s="67" t="s">
        <v>35</v>
      </c>
      <c r="I796" s="37"/>
      <c r="J796" s="129">
        <f t="shared" ref="J796:J801" si="38">+J795*0.2</f>
        <v>885.6</v>
      </c>
      <c r="K796" s="39" t="s">
        <v>40</v>
      </c>
    </row>
    <row r="797" ht="41" customHeight="1" spans="1:11">
      <c r="A797" s="115"/>
      <c r="B797" s="112">
        <v>13310001160100</v>
      </c>
      <c r="C797" s="67" t="s">
        <v>1850</v>
      </c>
      <c r="D797" s="37"/>
      <c r="E797" s="37"/>
      <c r="F797" s="37"/>
      <c r="G797" s="37"/>
      <c r="H797" s="67" t="s">
        <v>35</v>
      </c>
      <c r="I797" s="37"/>
      <c r="J797" s="129">
        <v>4428</v>
      </c>
      <c r="K797" s="39" t="s">
        <v>40</v>
      </c>
    </row>
    <row r="798" ht="41" customHeight="1" spans="1:11">
      <c r="A798" s="111">
        <v>145</v>
      </c>
      <c r="B798" s="112">
        <v>13310001170000</v>
      </c>
      <c r="C798" s="67" t="s">
        <v>1851</v>
      </c>
      <c r="D798" s="67" t="s">
        <v>1852</v>
      </c>
      <c r="E798" s="67" t="s">
        <v>1853</v>
      </c>
      <c r="F798" s="37"/>
      <c r="G798" s="37"/>
      <c r="H798" s="67" t="s">
        <v>35</v>
      </c>
      <c r="I798" s="67" t="s">
        <v>1854</v>
      </c>
      <c r="J798" s="129">
        <v>1850</v>
      </c>
      <c r="K798" s="39" t="s">
        <v>40</v>
      </c>
    </row>
    <row r="799" ht="41" customHeight="1" spans="1:11">
      <c r="A799" s="115"/>
      <c r="B799" s="112">
        <v>13310001170001</v>
      </c>
      <c r="C799" s="67" t="s">
        <v>1855</v>
      </c>
      <c r="D799" s="37"/>
      <c r="E799" s="37"/>
      <c r="F799" s="37"/>
      <c r="G799" s="37"/>
      <c r="H799" s="67" t="s">
        <v>35</v>
      </c>
      <c r="I799" s="37"/>
      <c r="J799" s="129">
        <f t="shared" si="38"/>
        <v>370</v>
      </c>
      <c r="K799" s="39" t="s">
        <v>40</v>
      </c>
    </row>
    <row r="800" ht="41" customHeight="1" spans="1:11">
      <c r="A800" s="111">
        <v>146</v>
      </c>
      <c r="B800" s="112">
        <v>13310001180000</v>
      </c>
      <c r="C800" s="67" t="s">
        <v>1856</v>
      </c>
      <c r="D800" s="67" t="s">
        <v>1857</v>
      </c>
      <c r="E800" s="67" t="s">
        <v>1740</v>
      </c>
      <c r="F800" s="67" t="s">
        <v>1420</v>
      </c>
      <c r="G800" s="37"/>
      <c r="H800" s="67" t="s">
        <v>35</v>
      </c>
      <c r="I800" s="67" t="s">
        <v>1421</v>
      </c>
      <c r="J800" s="129">
        <v>2421</v>
      </c>
      <c r="K800" s="39" t="s">
        <v>19</v>
      </c>
    </row>
    <row r="801" ht="41" customHeight="1" spans="1:11">
      <c r="A801" s="114"/>
      <c r="B801" s="112">
        <v>13310001180001</v>
      </c>
      <c r="C801" s="67" t="s">
        <v>1858</v>
      </c>
      <c r="D801" s="37"/>
      <c r="E801" s="37"/>
      <c r="F801" s="37"/>
      <c r="G801" s="37"/>
      <c r="H801" s="67" t="s">
        <v>35</v>
      </c>
      <c r="I801" s="37"/>
      <c r="J801" s="129">
        <f t="shared" si="38"/>
        <v>484.2</v>
      </c>
      <c r="K801" s="39" t="s">
        <v>19</v>
      </c>
    </row>
    <row r="802" ht="41" customHeight="1" spans="1:11">
      <c r="A802" s="115"/>
      <c r="B802" s="112">
        <v>13310001180011</v>
      </c>
      <c r="C802" s="67" t="s">
        <v>1859</v>
      </c>
      <c r="D802" s="37"/>
      <c r="E802" s="37"/>
      <c r="F802" s="37"/>
      <c r="G802" s="37"/>
      <c r="H802" s="67" t="s">
        <v>35</v>
      </c>
      <c r="I802" s="37"/>
      <c r="J802" s="129">
        <f>+J800*0.3</f>
        <v>726.3</v>
      </c>
      <c r="K802" s="39" t="s">
        <v>19</v>
      </c>
    </row>
    <row r="803" ht="41" customHeight="1" spans="1:11">
      <c r="A803" s="111">
        <v>147</v>
      </c>
      <c r="B803" s="112">
        <v>13310001190000</v>
      </c>
      <c r="C803" s="67" t="s">
        <v>1860</v>
      </c>
      <c r="D803" s="67" t="s">
        <v>1861</v>
      </c>
      <c r="E803" s="67" t="s">
        <v>1862</v>
      </c>
      <c r="F803" s="37"/>
      <c r="G803" s="37"/>
      <c r="H803" s="67" t="s">
        <v>35</v>
      </c>
      <c r="I803" s="37"/>
      <c r="J803" s="129">
        <v>2300</v>
      </c>
      <c r="K803" s="39" t="s">
        <v>40</v>
      </c>
    </row>
    <row r="804" ht="41" customHeight="1" spans="1:11">
      <c r="A804" s="115"/>
      <c r="B804" s="112">
        <v>13310001190001</v>
      </c>
      <c r="C804" s="67" t="s">
        <v>1863</v>
      </c>
      <c r="D804" s="37"/>
      <c r="E804" s="37"/>
      <c r="F804" s="37"/>
      <c r="G804" s="37"/>
      <c r="H804" s="67" t="s">
        <v>35</v>
      </c>
      <c r="I804" s="37"/>
      <c r="J804" s="129">
        <f t="shared" ref="J804:J808" si="39">+J803*0.2</f>
        <v>460</v>
      </c>
      <c r="K804" s="39" t="s">
        <v>40</v>
      </c>
    </row>
    <row r="805" ht="41" customHeight="1" spans="1:11">
      <c r="A805" s="111">
        <v>148</v>
      </c>
      <c r="B805" s="112">
        <v>13310001200000</v>
      </c>
      <c r="C805" s="67" t="s">
        <v>1864</v>
      </c>
      <c r="D805" s="67" t="s">
        <v>1865</v>
      </c>
      <c r="E805" s="67" t="s">
        <v>1866</v>
      </c>
      <c r="F805" s="37"/>
      <c r="G805" s="37"/>
      <c r="H805" s="67" t="s">
        <v>17</v>
      </c>
      <c r="I805" s="37"/>
      <c r="J805" s="129">
        <v>1412</v>
      </c>
      <c r="K805" s="39" t="s">
        <v>19</v>
      </c>
    </row>
    <row r="806" ht="41" customHeight="1" spans="1:11">
      <c r="A806" s="115"/>
      <c r="B806" s="112">
        <v>13310001200001</v>
      </c>
      <c r="C806" s="67" t="s">
        <v>1867</v>
      </c>
      <c r="D806" s="37"/>
      <c r="E806" s="37"/>
      <c r="F806" s="37"/>
      <c r="G806" s="37"/>
      <c r="H806" s="67" t="s">
        <v>17</v>
      </c>
      <c r="I806" s="37"/>
      <c r="J806" s="129">
        <f t="shared" si="39"/>
        <v>282.4</v>
      </c>
      <c r="K806" s="39" t="s">
        <v>19</v>
      </c>
    </row>
    <row r="807" ht="41" customHeight="1" spans="1:11">
      <c r="A807" s="111">
        <v>149</v>
      </c>
      <c r="B807" s="112">
        <v>13310001210000</v>
      </c>
      <c r="C807" s="67" t="s">
        <v>1868</v>
      </c>
      <c r="D807" s="67" t="s">
        <v>1869</v>
      </c>
      <c r="E807" s="67" t="s">
        <v>1866</v>
      </c>
      <c r="F807" s="37"/>
      <c r="G807" s="37"/>
      <c r="H807" s="67" t="s">
        <v>35</v>
      </c>
      <c r="I807" s="37"/>
      <c r="J807" s="129">
        <v>1632</v>
      </c>
      <c r="K807" s="39" t="s">
        <v>19</v>
      </c>
    </row>
    <row r="808" ht="41" customHeight="1" spans="1:11">
      <c r="A808" s="115"/>
      <c r="B808" s="112">
        <v>13310001210001</v>
      </c>
      <c r="C808" s="67" t="s">
        <v>1870</v>
      </c>
      <c r="D808" s="37"/>
      <c r="E808" s="37"/>
      <c r="F808" s="37"/>
      <c r="G808" s="37"/>
      <c r="H808" s="67" t="s">
        <v>35</v>
      </c>
      <c r="I808" s="37"/>
      <c r="J808" s="129">
        <f t="shared" si="39"/>
        <v>326.4</v>
      </c>
      <c r="K808" s="39" t="s">
        <v>19</v>
      </c>
    </row>
    <row r="809" ht="41" customHeight="1" spans="1:11">
      <c r="A809" s="111">
        <v>150</v>
      </c>
      <c r="B809" s="112">
        <v>13310001220000</v>
      </c>
      <c r="C809" s="67" t="s">
        <v>1871</v>
      </c>
      <c r="D809" s="67" t="s">
        <v>1872</v>
      </c>
      <c r="E809" s="67" t="s">
        <v>1866</v>
      </c>
      <c r="F809" s="37"/>
      <c r="G809" s="37"/>
      <c r="H809" s="67" t="s">
        <v>17</v>
      </c>
      <c r="I809" s="37"/>
      <c r="J809" s="129">
        <v>1177</v>
      </c>
      <c r="K809" s="39" t="s">
        <v>19</v>
      </c>
    </row>
    <row r="810" ht="41" customHeight="1" spans="1:11">
      <c r="A810" s="115"/>
      <c r="B810" s="112">
        <v>13310001220001</v>
      </c>
      <c r="C810" s="67" t="s">
        <v>1873</v>
      </c>
      <c r="D810" s="37"/>
      <c r="E810" s="37"/>
      <c r="F810" s="37"/>
      <c r="G810" s="37"/>
      <c r="H810" s="67" t="s">
        <v>17</v>
      </c>
      <c r="I810" s="37"/>
      <c r="J810" s="129">
        <f>+J809*0.2</f>
        <v>235.4</v>
      </c>
      <c r="K810" s="39" t="s">
        <v>19</v>
      </c>
    </row>
    <row r="811" ht="41" customHeight="1" spans="1:11">
      <c r="A811" s="111">
        <v>1</v>
      </c>
      <c r="B811" s="112">
        <v>12301010070000</v>
      </c>
      <c r="C811" s="67" t="s">
        <v>1874</v>
      </c>
      <c r="D811" s="67" t="s">
        <v>1875</v>
      </c>
      <c r="E811" s="67" t="s">
        <v>1876</v>
      </c>
      <c r="F811" s="67" t="s">
        <v>1877</v>
      </c>
      <c r="G811" s="37"/>
      <c r="H811" s="67" t="s">
        <v>35</v>
      </c>
      <c r="I811" s="67" t="s">
        <v>1878</v>
      </c>
      <c r="J811" s="129">
        <v>1318</v>
      </c>
      <c r="K811" s="39" t="s">
        <v>47</v>
      </c>
    </row>
    <row r="812" ht="41" customHeight="1" spans="1:11">
      <c r="A812" s="114"/>
      <c r="B812" s="112">
        <v>12301010070001</v>
      </c>
      <c r="C812" s="67" t="s">
        <v>1879</v>
      </c>
      <c r="D812" s="37"/>
      <c r="E812" s="37"/>
      <c r="F812" s="37"/>
      <c r="G812" s="37"/>
      <c r="H812" s="67" t="s">
        <v>35</v>
      </c>
      <c r="I812" s="37"/>
      <c r="J812" s="129">
        <f>+J811*0.15</f>
        <v>197.7</v>
      </c>
      <c r="K812" s="39" t="s">
        <v>47</v>
      </c>
    </row>
    <row r="813" ht="41" customHeight="1" spans="1:11">
      <c r="A813" s="114"/>
      <c r="B813" s="112">
        <v>12301010070011</v>
      </c>
      <c r="C813" s="67" t="s">
        <v>1880</v>
      </c>
      <c r="D813" s="37"/>
      <c r="E813" s="37"/>
      <c r="F813" s="37"/>
      <c r="G813" s="37"/>
      <c r="H813" s="67" t="s">
        <v>35</v>
      </c>
      <c r="I813" s="37"/>
      <c r="J813" s="129">
        <f>+J811*0.3</f>
        <v>395.4</v>
      </c>
      <c r="K813" s="39" t="s">
        <v>47</v>
      </c>
    </row>
    <row r="814" ht="41" customHeight="1" spans="1:11">
      <c r="A814" s="115"/>
      <c r="B814" s="112">
        <v>12301010070021</v>
      </c>
      <c r="C814" s="67" t="s">
        <v>1881</v>
      </c>
      <c r="D814" s="37"/>
      <c r="E814" s="37"/>
      <c r="F814" s="37"/>
      <c r="G814" s="37"/>
      <c r="H814" s="67" t="s">
        <v>35</v>
      </c>
      <c r="I814" s="37"/>
      <c r="J814" s="129">
        <v>867</v>
      </c>
      <c r="K814" s="39" t="s">
        <v>47</v>
      </c>
    </row>
    <row r="815" ht="41" customHeight="1" spans="1:11">
      <c r="A815" s="116">
        <v>2</v>
      </c>
      <c r="B815" s="112">
        <v>12301010080000</v>
      </c>
      <c r="C815" s="67" t="s">
        <v>1882</v>
      </c>
      <c r="D815" s="67" t="s">
        <v>1883</v>
      </c>
      <c r="E815" s="67" t="s">
        <v>1876</v>
      </c>
      <c r="F815" s="37"/>
      <c r="G815" s="37"/>
      <c r="H815" s="67" t="s">
        <v>35</v>
      </c>
      <c r="I815" s="67" t="s">
        <v>1884</v>
      </c>
      <c r="J815" s="129">
        <v>200</v>
      </c>
      <c r="K815" s="39" t="s">
        <v>19</v>
      </c>
    </row>
    <row r="816" ht="41" customHeight="1" spans="1:11">
      <c r="A816" s="111">
        <v>3</v>
      </c>
      <c r="B816" s="112">
        <v>13308000950000</v>
      </c>
      <c r="C816" s="67" t="s">
        <v>1885</v>
      </c>
      <c r="D816" s="67" t="s">
        <v>1886</v>
      </c>
      <c r="E816" s="67" t="s">
        <v>1887</v>
      </c>
      <c r="F816" s="37"/>
      <c r="G816" s="37"/>
      <c r="H816" s="67" t="s">
        <v>1888</v>
      </c>
      <c r="I816" s="67" t="s">
        <v>1889</v>
      </c>
      <c r="J816" s="129">
        <v>2605</v>
      </c>
      <c r="K816" s="39" t="s">
        <v>47</v>
      </c>
    </row>
    <row r="817" ht="41" customHeight="1" spans="1:11">
      <c r="A817" s="115"/>
      <c r="B817" s="112">
        <v>13308000950001</v>
      </c>
      <c r="C817" s="67" t="s">
        <v>1890</v>
      </c>
      <c r="D817" s="37"/>
      <c r="E817" s="37"/>
      <c r="F817" s="37"/>
      <c r="G817" s="37"/>
      <c r="H817" s="67" t="s">
        <v>1888</v>
      </c>
      <c r="I817" s="37"/>
      <c r="J817" s="129">
        <f t="shared" ref="J817:J821" si="40">+J816*0.2</f>
        <v>521</v>
      </c>
      <c r="K817" s="39" t="s">
        <v>47</v>
      </c>
    </row>
    <row r="818" ht="41" customHeight="1" spans="1:11">
      <c r="A818" s="111">
        <v>4</v>
      </c>
      <c r="B818" s="112">
        <v>13308000960000</v>
      </c>
      <c r="C818" s="67" t="s">
        <v>1891</v>
      </c>
      <c r="D818" s="67" t="s">
        <v>1892</v>
      </c>
      <c r="E818" s="67" t="s">
        <v>1887</v>
      </c>
      <c r="F818" s="37"/>
      <c r="G818" s="37"/>
      <c r="H818" s="67" t="s">
        <v>1888</v>
      </c>
      <c r="I818" s="67" t="s">
        <v>1889</v>
      </c>
      <c r="J818" s="129">
        <v>2351</v>
      </c>
      <c r="K818" s="39" t="s">
        <v>47</v>
      </c>
    </row>
    <row r="819" ht="41" customHeight="1" spans="1:11">
      <c r="A819" s="115"/>
      <c r="B819" s="112">
        <v>13308000960001</v>
      </c>
      <c r="C819" s="67" t="s">
        <v>1893</v>
      </c>
      <c r="D819" s="37"/>
      <c r="E819" s="37"/>
      <c r="F819" s="37"/>
      <c r="G819" s="37"/>
      <c r="H819" s="67" t="s">
        <v>1888</v>
      </c>
      <c r="I819" s="37"/>
      <c r="J819" s="129">
        <f t="shared" si="40"/>
        <v>470.2</v>
      </c>
      <c r="K819" s="39" t="s">
        <v>47</v>
      </c>
    </row>
    <row r="820" ht="41" customHeight="1" spans="1:11">
      <c r="A820" s="111">
        <v>5</v>
      </c>
      <c r="B820" s="112">
        <v>13308000970000</v>
      </c>
      <c r="C820" s="67" t="s">
        <v>1894</v>
      </c>
      <c r="D820" s="67" t="s">
        <v>1895</v>
      </c>
      <c r="E820" s="67" t="s">
        <v>1887</v>
      </c>
      <c r="F820" s="67" t="s">
        <v>1896</v>
      </c>
      <c r="G820" s="37"/>
      <c r="H820" s="67" t="s">
        <v>1888</v>
      </c>
      <c r="I820" s="67" t="s">
        <v>1889</v>
      </c>
      <c r="J820" s="129">
        <v>1842</v>
      </c>
      <c r="K820" s="39" t="s">
        <v>47</v>
      </c>
    </row>
    <row r="821" ht="41" customHeight="1" spans="1:11">
      <c r="A821" s="114"/>
      <c r="B821" s="112">
        <v>13308000970001</v>
      </c>
      <c r="C821" s="67" t="s">
        <v>1897</v>
      </c>
      <c r="D821" s="37"/>
      <c r="E821" s="37"/>
      <c r="F821" s="37"/>
      <c r="G821" s="37"/>
      <c r="H821" s="67" t="s">
        <v>1888</v>
      </c>
      <c r="I821" s="37"/>
      <c r="J821" s="129">
        <f t="shared" si="40"/>
        <v>368.4</v>
      </c>
      <c r="K821" s="39" t="s">
        <v>47</v>
      </c>
    </row>
    <row r="822" ht="41" customHeight="1" spans="1:11">
      <c r="A822" s="115"/>
      <c r="B822" s="112">
        <v>13308000970011</v>
      </c>
      <c r="C822" s="67" t="s">
        <v>1898</v>
      </c>
      <c r="D822" s="37"/>
      <c r="E822" s="37"/>
      <c r="F822" s="37"/>
      <c r="G822" s="37"/>
      <c r="H822" s="67" t="s">
        <v>1888</v>
      </c>
      <c r="I822" s="67" t="s">
        <v>1889</v>
      </c>
      <c r="J822" s="129">
        <f>+J820*0.1</f>
        <v>184.2</v>
      </c>
      <c r="K822" s="39" t="s">
        <v>47</v>
      </c>
    </row>
    <row r="823" ht="41" customHeight="1" spans="1:11">
      <c r="A823" s="111">
        <v>6</v>
      </c>
      <c r="B823" s="112">
        <v>13308000980000</v>
      </c>
      <c r="C823" s="67" t="s">
        <v>1899</v>
      </c>
      <c r="D823" s="67" t="s">
        <v>1900</v>
      </c>
      <c r="E823" s="67" t="s">
        <v>1887</v>
      </c>
      <c r="F823" s="37"/>
      <c r="G823" s="37"/>
      <c r="H823" s="67" t="s">
        <v>1888</v>
      </c>
      <c r="I823" s="67" t="s">
        <v>1889</v>
      </c>
      <c r="J823" s="129">
        <v>2097</v>
      </c>
      <c r="K823" s="39" t="s">
        <v>47</v>
      </c>
    </row>
    <row r="824" ht="41" customHeight="1" spans="1:11">
      <c r="A824" s="115"/>
      <c r="B824" s="112">
        <v>13308000980001</v>
      </c>
      <c r="C824" s="67" t="s">
        <v>1901</v>
      </c>
      <c r="D824" s="37"/>
      <c r="E824" s="37"/>
      <c r="F824" s="37"/>
      <c r="G824" s="37"/>
      <c r="H824" s="67" t="s">
        <v>1888</v>
      </c>
      <c r="I824" s="37"/>
      <c r="J824" s="129">
        <f t="shared" ref="J824:J828" si="41">+J823*0.2</f>
        <v>419.4</v>
      </c>
      <c r="K824" s="39" t="s">
        <v>47</v>
      </c>
    </row>
    <row r="825" ht="41" customHeight="1" spans="1:11">
      <c r="A825" s="111">
        <v>7</v>
      </c>
      <c r="B825" s="112">
        <v>13308000990000</v>
      </c>
      <c r="C825" s="67" t="s">
        <v>1902</v>
      </c>
      <c r="D825" s="67" t="s">
        <v>1903</v>
      </c>
      <c r="E825" s="67" t="s">
        <v>1887</v>
      </c>
      <c r="F825" s="37"/>
      <c r="G825" s="37"/>
      <c r="H825" s="67" t="s">
        <v>1888</v>
      </c>
      <c r="I825" s="67" t="s">
        <v>1889</v>
      </c>
      <c r="J825" s="129">
        <v>2170</v>
      </c>
      <c r="K825" s="39" t="s">
        <v>47</v>
      </c>
    </row>
    <row r="826" ht="41" customHeight="1" spans="1:11">
      <c r="A826" s="115"/>
      <c r="B826" s="112">
        <v>13308000990001</v>
      </c>
      <c r="C826" s="67" t="s">
        <v>1904</v>
      </c>
      <c r="D826" s="37"/>
      <c r="E826" s="37"/>
      <c r="F826" s="37"/>
      <c r="G826" s="37"/>
      <c r="H826" s="67" t="s">
        <v>1888</v>
      </c>
      <c r="I826" s="37"/>
      <c r="J826" s="129">
        <f t="shared" si="41"/>
        <v>434</v>
      </c>
      <c r="K826" s="39" t="s">
        <v>47</v>
      </c>
    </row>
    <row r="827" ht="41" customHeight="1" spans="1:11">
      <c r="A827" s="111">
        <v>8</v>
      </c>
      <c r="B827" s="112">
        <v>13308001000000</v>
      </c>
      <c r="C827" s="67" t="s">
        <v>1905</v>
      </c>
      <c r="D827" s="67" t="s">
        <v>1906</v>
      </c>
      <c r="E827" s="67" t="s">
        <v>1887</v>
      </c>
      <c r="F827" s="37"/>
      <c r="G827" s="37"/>
      <c r="H827" s="67" t="s">
        <v>1888</v>
      </c>
      <c r="I827" s="67" t="s">
        <v>1889</v>
      </c>
      <c r="J827" s="129">
        <v>2003</v>
      </c>
      <c r="K827" s="39" t="s">
        <v>47</v>
      </c>
    </row>
    <row r="828" ht="41" customHeight="1" spans="1:11">
      <c r="A828" s="115"/>
      <c r="B828" s="112">
        <v>13308001000001</v>
      </c>
      <c r="C828" s="67" t="s">
        <v>1907</v>
      </c>
      <c r="D828" s="37"/>
      <c r="E828" s="37"/>
      <c r="F828" s="37"/>
      <c r="G828" s="37"/>
      <c r="H828" s="67" t="s">
        <v>1888</v>
      </c>
      <c r="I828" s="37"/>
      <c r="J828" s="129">
        <f t="shared" si="41"/>
        <v>400.6</v>
      </c>
      <c r="K828" s="39" t="s">
        <v>47</v>
      </c>
    </row>
    <row r="829" ht="41" customHeight="1" spans="1:11">
      <c r="A829" s="111">
        <v>9</v>
      </c>
      <c r="B829" s="112">
        <v>13308001010000</v>
      </c>
      <c r="C829" s="67" t="s">
        <v>1908</v>
      </c>
      <c r="D829" s="67" t="s">
        <v>1909</v>
      </c>
      <c r="E829" s="67" t="s">
        <v>1887</v>
      </c>
      <c r="F829" s="37"/>
      <c r="G829" s="37"/>
      <c r="H829" s="67" t="s">
        <v>1888</v>
      </c>
      <c r="I829" s="67" t="s">
        <v>1889</v>
      </c>
      <c r="J829" s="129">
        <v>1669</v>
      </c>
      <c r="K829" s="39" t="s">
        <v>47</v>
      </c>
    </row>
    <row r="830" ht="41" customHeight="1" spans="1:11">
      <c r="A830" s="115"/>
      <c r="B830" s="112">
        <v>13308001010001</v>
      </c>
      <c r="C830" s="67" t="s">
        <v>1910</v>
      </c>
      <c r="D830" s="37"/>
      <c r="E830" s="37"/>
      <c r="F830" s="37"/>
      <c r="G830" s="37"/>
      <c r="H830" s="67" t="s">
        <v>1888</v>
      </c>
      <c r="I830" s="37"/>
      <c r="J830" s="129">
        <f t="shared" ref="J830:J834" si="42">+J829*0.2</f>
        <v>333.8</v>
      </c>
      <c r="K830" s="39" t="s">
        <v>47</v>
      </c>
    </row>
    <row r="831" ht="41" customHeight="1" spans="1:11">
      <c r="A831" s="111">
        <v>10</v>
      </c>
      <c r="B831" s="112">
        <v>13308001020000</v>
      </c>
      <c r="C831" s="67" t="s">
        <v>1911</v>
      </c>
      <c r="D831" s="67" t="s">
        <v>1912</v>
      </c>
      <c r="E831" s="67" t="s">
        <v>1887</v>
      </c>
      <c r="F831" s="37"/>
      <c r="G831" s="37"/>
      <c r="H831" s="67" t="s">
        <v>1888</v>
      </c>
      <c r="I831" s="67" t="s">
        <v>1889</v>
      </c>
      <c r="J831" s="129">
        <v>1836</v>
      </c>
      <c r="K831" s="39" t="s">
        <v>47</v>
      </c>
    </row>
    <row r="832" ht="41" customHeight="1" spans="1:11">
      <c r="A832" s="115"/>
      <c r="B832" s="112">
        <v>13308001020001</v>
      </c>
      <c r="C832" s="67" t="s">
        <v>1913</v>
      </c>
      <c r="D832" s="37"/>
      <c r="E832" s="37"/>
      <c r="F832" s="37"/>
      <c r="G832" s="37"/>
      <c r="H832" s="67" t="s">
        <v>1888</v>
      </c>
      <c r="I832" s="37"/>
      <c r="J832" s="129">
        <f t="shared" si="42"/>
        <v>367.2</v>
      </c>
      <c r="K832" s="39" t="s">
        <v>47</v>
      </c>
    </row>
    <row r="833" ht="41" customHeight="1" spans="1:11">
      <c r="A833" s="111">
        <v>11</v>
      </c>
      <c r="B833" s="112">
        <v>13308001030000</v>
      </c>
      <c r="C833" s="67" t="s">
        <v>1914</v>
      </c>
      <c r="D833" s="67" t="s">
        <v>1915</v>
      </c>
      <c r="E833" s="67" t="s">
        <v>1916</v>
      </c>
      <c r="F833" s="37"/>
      <c r="G833" s="37"/>
      <c r="H833" s="67" t="s">
        <v>1888</v>
      </c>
      <c r="I833" s="67" t="s">
        <v>1917</v>
      </c>
      <c r="J833" s="129">
        <v>2987</v>
      </c>
      <c r="K833" s="39" t="s">
        <v>47</v>
      </c>
    </row>
    <row r="834" ht="41" customHeight="1" spans="1:11">
      <c r="A834" s="115"/>
      <c r="B834" s="112">
        <v>13308001030001</v>
      </c>
      <c r="C834" s="67" t="s">
        <v>1918</v>
      </c>
      <c r="D834" s="37"/>
      <c r="E834" s="37"/>
      <c r="F834" s="37"/>
      <c r="G834" s="37"/>
      <c r="H834" s="67" t="s">
        <v>1888</v>
      </c>
      <c r="I834" s="37"/>
      <c r="J834" s="129">
        <f t="shared" si="42"/>
        <v>597.4</v>
      </c>
      <c r="K834" s="39" t="s">
        <v>47</v>
      </c>
    </row>
    <row r="835" ht="41" customHeight="1" spans="1:11">
      <c r="A835" s="111">
        <v>12</v>
      </c>
      <c r="B835" s="112">
        <v>13308001040000</v>
      </c>
      <c r="C835" s="67" t="s">
        <v>1919</v>
      </c>
      <c r="D835" s="67" t="s">
        <v>1920</v>
      </c>
      <c r="E835" s="67" t="s">
        <v>1916</v>
      </c>
      <c r="F835" s="37"/>
      <c r="G835" s="37"/>
      <c r="H835" s="67" t="s">
        <v>1888</v>
      </c>
      <c r="I835" s="67" t="s">
        <v>1917</v>
      </c>
      <c r="J835" s="129">
        <v>2943</v>
      </c>
      <c r="K835" s="39" t="s">
        <v>47</v>
      </c>
    </row>
    <row r="836" ht="41" customHeight="1" spans="1:11">
      <c r="A836" s="115"/>
      <c r="B836" s="112">
        <v>13308001040001</v>
      </c>
      <c r="C836" s="67" t="s">
        <v>1921</v>
      </c>
      <c r="D836" s="37"/>
      <c r="E836" s="37"/>
      <c r="F836" s="37"/>
      <c r="G836" s="37"/>
      <c r="H836" s="67" t="s">
        <v>1888</v>
      </c>
      <c r="I836" s="37"/>
      <c r="J836" s="129">
        <f t="shared" ref="J836:J840" si="43">+J835*0.2</f>
        <v>588.6</v>
      </c>
      <c r="K836" s="39" t="s">
        <v>47</v>
      </c>
    </row>
    <row r="837" ht="41" customHeight="1" spans="1:11">
      <c r="A837" s="111">
        <v>13</v>
      </c>
      <c r="B837" s="112">
        <v>13308001050000</v>
      </c>
      <c r="C837" s="67" t="s">
        <v>1922</v>
      </c>
      <c r="D837" s="67" t="s">
        <v>1923</v>
      </c>
      <c r="E837" s="67" t="s">
        <v>1916</v>
      </c>
      <c r="F837" s="37"/>
      <c r="G837" s="37"/>
      <c r="H837" s="67" t="s">
        <v>1888</v>
      </c>
      <c r="I837" s="67" t="s">
        <v>1917</v>
      </c>
      <c r="J837" s="129">
        <v>2820</v>
      </c>
      <c r="K837" s="39" t="s">
        <v>47</v>
      </c>
    </row>
    <row r="838" ht="41" customHeight="1" spans="1:11">
      <c r="A838" s="115"/>
      <c r="B838" s="112">
        <v>13308001050001</v>
      </c>
      <c r="C838" s="67" t="s">
        <v>1924</v>
      </c>
      <c r="D838" s="37"/>
      <c r="E838" s="37"/>
      <c r="F838" s="37"/>
      <c r="G838" s="37"/>
      <c r="H838" s="67" t="s">
        <v>1888</v>
      </c>
      <c r="I838" s="37"/>
      <c r="J838" s="129">
        <f t="shared" si="43"/>
        <v>564</v>
      </c>
      <c r="K838" s="39" t="s">
        <v>47</v>
      </c>
    </row>
    <row r="839" ht="41" customHeight="1" spans="1:11">
      <c r="A839" s="111">
        <v>14</v>
      </c>
      <c r="B839" s="112">
        <v>13308001060000</v>
      </c>
      <c r="C839" s="67" t="s">
        <v>1925</v>
      </c>
      <c r="D839" s="67" t="s">
        <v>1926</v>
      </c>
      <c r="E839" s="67" t="s">
        <v>1916</v>
      </c>
      <c r="F839" s="37"/>
      <c r="G839" s="37"/>
      <c r="H839" s="67" t="s">
        <v>1888</v>
      </c>
      <c r="I839" s="67" t="s">
        <v>1917</v>
      </c>
      <c r="J839" s="129">
        <v>2575</v>
      </c>
      <c r="K839" s="39" t="s">
        <v>47</v>
      </c>
    </row>
    <row r="840" ht="41" customHeight="1" spans="1:11">
      <c r="A840" s="115"/>
      <c r="B840" s="112">
        <v>13308001060001</v>
      </c>
      <c r="C840" s="67" t="s">
        <v>1927</v>
      </c>
      <c r="D840" s="37"/>
      <c r="E840" s="37"/>
      <c r="F840" s="37"/>
      <c r="G840" s="37"/>
      <c r="H840" s="67" t="s">
        <v>1888</v>
      </c>
      <c r="I840" s="37"/>
      <c r="J840" s="129">
        <f t="shared" si="43"/>
        <v>515</v>
      </c>
      <c r="K840" s="39" t="s">
        <v>47</v>
      </c>
    </row>
    <row r="841" ht="41" customHeight="1" spans="1:11">
      <c r="A841" s="111">
        <v>15</v>
      </c>
      <c r="B841" s="112">
        <v>13308001070000</v>
      </c>
      <c r="C841" s="67" t="s">
        <v>1928</v>
      </c>
      <c r="D841" s="67" t="s">
        <v>1929</v>
      </c>
      <c r="E841" s="67" t="s">
        <v>1930</v>
      </c>
      <c r="F841" s="37"/>
      <c r="G841" s="37"/>
      <c r="H841" s="67" t="s">
        <v>35</v>
      </c>
      <c r="I841" s="67" t="s">
        <v>1931</v>
      </c>
      <c r="J841" s="129">
        <v>3218</v>
      </c>
      <c r="K841" s="39" t="s">
        <v>47</v>
      </c>
    </row>
    <row r="842" ht="41" customHeight="1" spans="1:11">
      <c r="A842" s="115"/>
      <c r="B842" s="112">
        <v>13308001070001</v>
      </c>
      <c r="C842" s="67" t="s">
        <v>1932</v>
      </c>
      <c r="D842" s="37"/>
      <c r="E842" s="37"/>
      <c r="F842" s="37"/>
      <c r="G842" s="37"/>
      <c r="H842" s="67" t="s">
        <v>35</v>
      </c>
      <c r="I842" s="37"/>
      <c r="J842" s="129">
        <f t="shared" ref="J842:J846" si="44">+J841*0.2</f>
        <v>643.6</v>
      </c>
      <c r="K842" s="39" t="s">
        <v>47</v>
      </c>
    </row>
    <row r="843" ht="41" customHeight="1" spans="1:11">
      <c r="A843" s="111">
        <v>16</v>
      </c>
      <c r="B843" s="112">
        <v>13308001080000</v>
      </c>
      <c r="C843" s="67" t="s">
        <v>1933</v>
      </c>
      <c r="D843" s="67" t="s">
        <v>1934</v>
      </c>
      <c r="E843" s="67" t="s">
        <v>1916</v>
      </c>
      <c r="F843" s="37"/>
      <c r="G843" s="37"/>
      <c r="H843" s="67" t="s">
        <v>1888</v>
      </c>
      <c r="I843" s="67" t="s">
        <v>1917</v>
      </c>
      <c r="J843" s="129">
        <v>2885</v>
      </c>
      <c r="K843" s="39" t="s">
        <v>47</v>
      </c>
    </row>
    <row r="844" ht="41" customHeight="1" spans="1:11">
      <c r="A844" s="115"/>
      <c r="B844" s="112">
        <v>13308001080001</v>
      </c>
      <c r="C844" s="67" t="s">
        <v>1935</v>
      </c>
      <c r="D844" s="37"/>
      <c r="E844" s="37"/>
      <c r="F844" s="37"/>
      <c r="G844" s="37"/>
      <c r="H844" s="67" t="s">
        <v>1888</v>
      </c>
      <c r="I844" s="37"/>
      <c r="J844" s="129">
        <f t="shared" si="44"/>
        <v>577</v>
      </c>
      <c r="K844" s="39" t="s">
        <v>47</v>
      </c>
    </row>
    <row r="845" ht="41" customHeight="1" spans="1:11">
      <c r="A845" s="111">
        <v>17</v>
      </c>
      <c r="B845" s="112">
        <v>13308001090000</v>
      </c>
      <c r="C845" s="67" t="s">
        <v>1936</v>
      </c>
      <c r="D845" s="67" t="s">
        <v>1937</v>
      </c>
      <c r="E845" s="67" t="s">
        <v>1916</v>
      </c>
      <c r="F845" s="37"/>
      <c r="G845" s="37"/>
      <c r="H845" s="67" t="s">
        <v>1888</v>
      </c>
      <c r="I845" s="67" t="s">
        <v>1917</v>
      </c>
      <c r="J845" s="129">
        <v>2663</v>
      </c>
      <c r="K845" s="39" t="s">
        <v>47</v>
      </c>
    </row>
    <row r="846" ht="41" customHeight="1" spans="1:11">
      <c r="A846" s="115"/>
      <c r="B846" s="112">
        <v>13308001090001</v>
      </c>
      <c r="C846" s="67" t="s">
        <v>1938</v>
      </c>
      <c r="D846" s="37"/>
      <c r="E846" s="37"/>
      <c r="F846" s="37"/>
      <c r="G846" s="37"/>
      <c r="H846" s="67" t="s">
        <v>1888</v>
      </c>
      <c r="I846" s="37"/>
      <c r="J846" s="129">
        <f t="shared" si="44"/>
        <v>532.6</v>
      </c>
      <c r="K846" s="39" t="s">
        <v>47</v>
      </c>
    </row>
    <row r="847" ht="41" customHeight="1" spans="1:11">
      <c r="A847" s="111">
        <v>18</v>
      </c>
      <c r="B847" s="112">
        <v>13308001100000</v>
      </c>
      <c r="C847" s="67" t="s">
        <v>1939</v>
      </c>
      <c r="D847" s="67" t="s">
        <v>1940</v>
      </c>
      <c r="E847" s="67" t="s">
        <v>1916</v>
      </c>
      <c r="F847" s="37"/>
      <c r="G847" s="37"/>
      <c r="H847" s="67" t="s">
        <v>1888</v>
      </c>
      <c r="I847" s="67" t="s">
        <v>1917</v>
      </c>
      <c r="J847" s="129">
        <v>2219</v>
      </c>
      <c r="K847" s="39" t="s">
        <v>47</v>
      </c>
    </row>
    <row r="848" ht="41" customHeight="1" spans="1:11">
      <c r="A848" s="115"/>
      <c r="B848" s="112">
        <v>13308001100001</v>
      </c>
      <c r="C848" s="67" t="s">
        <v>1941</v>
      </c>
      <c r="D848" s="37"/>
      <c r="E848" s="37"/>
      <c r="F848" s="37"/>
      <c r="G848" s="37"/>
      <c r="H848" s="67" t="s">
        <v>1888</v>
      </c>
      <c r="I848" s="37"/>
      <c r="J848" s="129">
        <f t="shared" ref="J848:J852" si="45">+J847*0.2</f>
        <v>443.8</v>
      </c>
      <c r="K848" s="39" t="s">
        <v>47</v>
      </c>
    </row>
    <row r="849" ht="41" customHeight="1" spans="1:11">
      <c r="A849" s="111">
        <v>19</v>
      </c>
      <c r="B849" s="112">
        <v>13308001110000</v>
      </c>
      <c r="C849" s="67" t="s">
        <v>1942</v>
      </c>
      <c r="D849" s="67" t="s">
        <v>1943</v>
      </c>
      <c r="E849" s="67" t="s">
        <v>1916</v>
      </c>
      <c r="F849" s="37"/>
      <c r="G849" s="37"/>
      <c r="H849" s="67" t="s">
        <v>1888</v>
      </c>
      <c r="I849" s="67" t="s">
        <v>1917</v>
      </c>
      <c r="J849" s="129">
        <v>2441</v>
      </c>
      <c r="K849" s="39" t="s">
        <v>47</v>
      </c>
    </row>
    <row r="850" ht="41" customHeight="1" spans="1:11">
      <c r="A850" s="115"/>
      <c r="B850" s="112">
        <v>13308001110001</v>
      </c>
      <c r="C850" s="67" t="s">
        <v>1944</v>
      </c>
      <c r="D850" s="37"/>
      <c r="E850" s="37"/>
      <c r="F850" s="37"/>
      <c r="G850" s="37"/>
      <c r="H850" s="67" t="s">
        <v>1888</v>
      </c>
      <c r="I850" s="37"/>
      <c r="J850" s="129">
        <f t="shared" si="45"/>
        <v>488.2</v>
      </c>
      <c r="K850" s="39" t="s">
        <v>47</v>
      </c>
    </row>
    <row r="851" ht="41" customHeight="1" spans="1:11">
      <c r="A851" s="111">
        <v>20</v>
      </c>
      <c r="B851" s="112">
        <v>13308001120000</v>
      </c>
      <c r="C851" s="67" t="s">
        <v>1945</v>
      </c>
      <c r="D851" s="67" t="s">
        <v>1946</v>
      </c>
      <c r="E851" s="67" t="s">
        <v>1947</v>
      </c>
      <c r="F851" s="37"/>
      <c r="G851" s="37"/>
      <c r="H851" s="67" t="s">
        <v>1888</v>
      </c>
      <c r="I851" s="67" t="s">
        <v>1889</v>
      </c>
      <c r="J851" s="129">
        <v>1845</v>
      </c>
      <c r="K851" s="39" t="s">
        <v>47</v>
      </c>
    </row>
    <row r="852" ht="41" customHeight="1" spans="1:11">
      <c r="A852" s="115"/>
      <c r="B852" s="112">
        <v>13308001120001</v>
      </c>
      <c r="C852" s="67" t="s">
        <v>1948</v>
      </c>
      <c r="D852" s="37"/>
      <c r="E852" s="37"/>
      <c r="F852" s="37"/>
      <c r="G852" s="37"/>
      <c r="H852" s="67" t="s">
        <v>1888</v>
      </c>
      <c r="I852" s="37"/>
      <c r="J852" s="129">
        <f t="shared" si="45"/>
        <v>369</v>
      </c>
      <c r="K852" s="39" t="s">
        <v>47</v>
      </c>
    </row>
    <row r="853" ht="41" customHeight="1" spans="1:11">
      <c r="A853" s="111">
        <v>21</v>
      </c>
      <c r="B853" s="112">
        <v>13308001130000</v>
      </c>
      <c r="C853" s="67" t="s">
        <v>1949</v>
      </c>
      <c r="D853" s="67" t="s">
        <v>1950</v>
      </c>
      <c r="E853" s="67" t="s">
        <v>1947</v>
      </c>
      <c r="F853" s="37"/>
      <c r="G853" s="37"/>
      <c r="H853" s="67" t="s">
        <v>1888</v>
      </c>
      <c r="I853" s="67" t="s">
        <v>1889</v>
      </c>
      <c r="J853" s="129">
        <v>2054</v>
      </c>
      <c r="K853" s="39" t="s">
        <v>47</v>
      </c>
    </row>
    <row r="854" ht="41" customHeight="1" spans="1:11">
      <c r="A854" s="115"/>
      <c r="B854" s="112">
        <v>13308001130001</v>
      </c>
      <c r="C854" s="67" t="s">
        <v>1951</v>
      </c>
      <c r="D854" s="37"/>
      <c r="E854" s="37"/>
      <c r="F854" s="37"/>
      <c r="G854" s="37"/>
      <c r="H854" s="67" t="s">
        <v>1888</v>
      </c>
      <c r="I854" s="37"/>
      <c r="J854" s="129">
        <f t="shared" ref="J854:J858" si="46">+J853*0.2</f>
        <v>410.8</v>
      </c>
      <c r="K854" s="39" t="s">
        <v>47</v>
      </c>
    </row>
    <row r="855" ht="41" customHeight="1" spans="1:11">
      <c r="A855" s="111">
        <v>22</v>
      </c>
      <c r="B855" s="112">
        <v>13308001140000</v>
      </c>
      <c r="C855" s="67" t="s">
        <v>1952</v>
      </c>
      <c r="D855" s="67" t="s">
        <v>1953</v>
      </c>
      <c r="E855" s="67" t="s">
        <v>1947</v>
      </c>
      <c r="F855" s="37"/>
      <c r="G855" s="37"/>
      <c r="H855" s="67" t="s">
        <v>1888</v>
      </c>
      <c r="I855" s="67" t="s">
        <v>1889</v>
      </c>
      <c r="J855" s="129">
        <v>1920</v>
      </c>
      <c r="K855" s="39" t="s">
        <v>47</v>
      </c>
    </row>
    <row r="856" ht="41" customHeight="1" spans="1:11">
      <c r="A856" s="115"/>
      <c r="B856" s="112">
        <v>13308001140001</v>
      </c>
      <c r="C856" s="67" t="s">
        <v>1954</v>
      </c>
      <c r="D856" s="37"/>
      <c r="E856" s="37"/>
      <c r="F856" s="37"/>
      <c r="G856" s="37"/>
      <c r="H856" s="67" t="s">
        <v>1888</v>
      </c>
      <c r="I856" s="37"/>
      <c r="J856" s="129">
        <f t="shared" si="46"/>
        <v>384</v>
      </c>
      <c r="K856" s="39" t="s">
        <v>47</v>
      </c>
    </row>
    <row r="857" ht="41" customHeight="1" spans="1:11">
      <c r="A857" s="111">
        <v>23</v>
      </c>
      <c r="B857" s="112">
        <v>13308001150000</v>
      </c>
      <c r="C857" s="67" t="s">
        <v>1955</v>
      </c>
      <c r="D857" s="67" t="s">
        <v>1956</v>
      </c>
      <c r="E857" s="67" t="s">
        <v>1947</v>
      </c>
      <c r="F857" s="37"/>
      <c r="G857" s="37"/>
      <c r="H857" s="67" t="s">
        <v>1888</v>
      </c>
      <c r="I857" s="67" t="s">
        <v>1889</v>
      </c>
      <c r="J857" s="129">
        <v>1848</v>
      </c>
      <c r="K857" s="39" t="s">
        <v>47</v>
      </c>
    </row>
    <row r="858" ht="41" customHeight="1" spans="1:11">
      <c r="A858" s="115"/>
      <c r="B858" s="112">
        <v>13308001150001</v>
      </c>
      <c r="C858" s="67" t="s">
        <v>1957</v>
      </c>
      <c r="D858" s="37"/>
      <c r="E858" s="37"/>
      <c r="F858" s="37"/>
      <c r="G858" s="37"/>
      <c r="H858" s="67" t="s">
        <v>1888</v>
      </c>
      <c r="I858" s="37"/>
      <c r="J858" s="129">
        <f t="shared" si="46"/>
        <v>369.6</v>
      </c>
      <c r="K858" s="39" t="s">
        <v>47</v>
      </c>
    </row>
    <row r="859" ht="41" customHeight="1" spans="1:11">
      <c r="A859" s="111">
        <v>24</v>
      </c>
      <c r="B859" s="112">
        <v>13308001160000</v>
      </c>
      <c r="C859" s="67" t="s">
        <v>1958</v>
      </c>
      <c r="D859" s="67" t="s">
        <v>1959</v>
      </c>
      <c r="E859" s="67" t="s">
        <v>1947</v>
      </c>
      <c r="F859" s="37"/>
      <c r="G859" s="37"/>
      <c r="H859" s="67" t="s">
        <v>1888</v>
      </c>
      <c r="I859" s="67" t="s">
        <v>1889</v>
      </c>
      <c r="J859" s="129">
        <v>2315</v>
      </c>
      <c r="K859" s="39" t="s">
        <v>47</v>
      </c>
    </row>
    <row r="860" ht="41" customHeight="1" spans="1:11">
      <c r="A860" s="115"/>
      <c r="B860" s="112">
        <v>13308001160001</v>
      </c>
      <c r="C860" s="67" t="s">
        <v>1960</v>
      </c>
      <c r="D860" s="37"/>
      <c r="E860" s="37"/>
      <c r="F860" s="37"/>
      <c r="G860" s="37"/>
      <c r="H860" s="67" t="s">
        <v>1888</v>
      </c>
      <c r="I860" s="37"/>
      <c r="J860" s="129">
        <f t="shared" ref="J860:J864" si="47">+J859*0.2</f>
        <v>463</v>
      </c>
      <c r="K860" s="39" t="s">
        <v>47</v>
      </c>
    </row>
    <row r="861" ht="41" customHeight="1" spans="1:11">
      <c r="A861" s="111">
        <v>25</v>
      </c>
      <c r="B861" s="112">
        <v>13308001170000</v>
      </c>
      <c r="C861" s="67" t="s">
        <v>1961</v>
      </c>
      <c r="D861" s="67" t="s">
        <v>1962</v>
      </c>
      <c r="E861" s="67" t="s">
        <v>1947</v>
      </c>
      <c r="F861" s="37"/>
      <c r="G861" s="37"/>
      <c r="H861" s="67" t="s">
        <v>1888</v>
      </c>
      <c r="I861" s="67" t="s">
        <v>1889</v>
      </c>
      <c r="J861" s="129">
        <v>2136</v>
      </c>
      <c r="K861" s="39" t="s">
        <v>47</v>
      </c>
    </row>
    <row r="862" ht="41" customHeight="1" spans="1:11">
      <c r="A862" s="115"/>
      <c r="B862" s="112">
        <v>13308001170001</v>
      </c>
      <c r="C862" s="67" t="s">
        <v>1963</v>
      </c>
      <c r="D862" s="37"/>
      <c r="E862" s="37"/>
      <c r="F862" s="37"/>
      <c r="G862" s="37"/>
      <c r="H862" s="67" t="s">
        <v>1888</v>
      </c>
      <c r="I862" s="37"/>
      <c r="J862" s="129">
        <f t="shared" si="47"/>
        <v>427.2</v>
      </c>
      <c r="K862" s="39" t="s">
        <v>47</v>
      </c>
    </row>
    <row r="863" ht="41" customHeight="1" spans="1:11">
      <c r="A863" s="111">
        <v>26</v>
      </c>
      <c r="B863" s="112">
        <v>13308001180000</v>
      </c>
      <c r="C863" s="67" t="s">
        <v>1964</v>
      </c>
      <c r="D863" s="67" t="s">
        <v>1965</v>
      </c>
      <c r="E863" s="67" t="s">
        <v>1947</v>
      </c>
      <c r="F863" s="37"/>
      <c r="G863" s="37"/>
      <c r="H863" s="67" t="s">
        <v>1888</v>
      </c>
      <c r="I863" s="67" t="s">
        <v>1889</v>
      </c>
      <c r="J863" s="129">
        <v>1781</v>
      </c>
      <c r="K863" s="39" t="s">
        <v>47</v>
      </c>
    </row>
    <row r="864" ht="41" customHeight="1" spans="1:11">
      <c r="A864" s="115"/>
      <c r="B864" s="112">
        <v>13308001180001</v>
      </c>
      <c r="C864" s="67" t="s">
        <v>1966</v>
      </c>
      <c r="D864" s="37"/>
      <c r="E864" s="37"/>
      <c r="F864" s="37"/>
      <c r="G864" s="37"/>
      <c r="H864" s="67" t="s">
        <v>1888</v>
      </c>
      <c r="I864" s="37"/>
      <c r="J864" s="129">
        <f t="shared" si="47"/>
        <v>356.2</v>
      </c>
      <c r="K864" s="39" t="s">
        <v>47</v>
      </c>
    </row>
    <row r="865" ht="41" customHeight="1" spans="1:11">
      <c r="A865" s="111">
        <v>27</v>
      </c>
      <c r="B865" s="112">
        <v>13308001190000</v>
      </c>
      <c r="C865" s="67" t="s">
        <v>1967</v>
      </c>
      <c r="D865" s="67" t="s">
        <v>1968</v>
      </c>
      <c r="E865" s="67" t="s">
        <v>1947</v>
      </c>
      <c r="F865" s="37"/>
      <c r="G865" s="37"/>
      <c r="H865" s="67" t="s">
        <v>1888</v>
      </c>
      <c r="I865" s="67" t="s">
        <v>1889</v>
      </c>
      <c r="J865" s="129">
        <v>1958</v>
      </c>
      <c r="K865" s="39" t="s">
        <v>47</v>
      </c>
    </row>
    <row r="866" ht="41" customHeight="1" spans="1:11">
      <c r="A866" s="115"/>
      <c r="B866" s="112">
        <v>13308001190001</v>
      </c>
      <c r="C866" s="67" t="s">
        <v>1969</v>
      </c>
      <c r="D866" s="37"/>
      <c r="E866" s="37"/>
      <c r="F866" s="37"/>
      <c r="G866" s="37"/>
      <c r="H866" s="67" t="s">
        <v>1888</v>
      </c>
      <c r="I866" s="37"/>
      <c r="J866" s="129">
        <f t="shared" ref="J866:J870" si="48">+J865*0.2</f>
        <v>391.6</v>
      </c>
      <c r="K866" s="39" t="s">
        <v>47</v>
      </c>
    </row>
    <row r="867" ht="41" customHeight="1" spans="1:11">
      <c r="A867" s="111">
        <v>28</v>
      </c>
      <c r="B867" s="112">
        <v>13308001960000</v>
      </c>
      <c r="C867" s="67" t="s">
        <v>1970</v>
      </c>
      <c r="D867" s="67" t="s">
        <v>1971</v>
      </c>
      <c r="E867" s="67" t="s">
        <v>1972</v>
      </c>
      <c r="F867" s="37"/>
      <c r="G867" s="37"/>
      <c r="H867" s="67" t="s">
        <v>1888</v>
      </c>
      <c r="I867" s="67" t="s">
        <v>1889</v>
      </c>
      <c r="J867" s="129">
        <v>1435</v>
      </c>
      <c r="K867" s="39" t="s">
        <v>47</v>
      </c>
    </row>
    <row r="868" ht="41" customHeight="1" spans="1:11">
      <c r="A868" s="115"/>
      <c r="B868" s="112">
        <v>13308001960001</v>
      </c>
      <c r="C868" s="67" t="s">
        <v>1973</v>
      </c>
      <c r="D868" s="37"/>
      <c r="E868" s="37"/>
      <c r="F868" s="37"/>
      <c r="G868" s="37"/>
      <c r="H868" s="67" t="s">
        <v>1888</v>
      </c>
      <c r="I868" s="37"/>
      <c r="J868" s="129">
        <f t="shared" si="48"/>
        <v>287</v>
      </c>
      <c r="K868" s="39" t="s">
        <v>47</v>
      </c>
    </row>
    <row r="869" ht="41" customHeight="1" spans="1:11">
      <c r="A869" s="111">
        <v>29</v>
      </c>
      <c r="B869" s="112">
        <v>13308001200000</v>
      </c>
      <c r="C869" s="67" t="s">
        <v>1974</v>
      </c>
      <c r="D869" s="67" t="s">
        <v>1975</v>
      </c>
      <c r="E869" s="67" t="s">
        <v>1976</v>
      </c>
      <c r="F869" s="37"/>
      <c r="G869" s="37"/>
      <c r="H869" s="67" t="s">
        <v>1888</v>
      </c>
      <c r="I869" s="67" t="s">
        <v>1889</v>
      </c>
      <c r="J869" s="129">
        <v>2105</v>
      </c>
      <c r="K869" s="39" t="s">
        <v>47</v>
      </c>
    </row>
    <row r="870" ht="41" customHeight="1" spans="1:11">
      <c r="A870" s="115"/>
      <c r="B870" s="112">
        <v>13308001200001</v>
      </c>
      <c r="C870" s="67" t="s">
        <v>1977</v>
      </c>
      <c r="D870" s="37"/>
      <c r="E870" s="37"/>
      <c r="F870" s="37"/>
      <c r="G870" s="37"/>
      <c r="H870" s="67" t="s">
        <v>1888</v>
      </c>
      <c r="I870" s="37"/>
      <c r="J870" s="129">
        <f t="shared" si="48"/>
        <v>421</v>
      </c>
      <c r="K870" s="39" t="s">
        <v>47</v>
      </c>
    </row>
    <row r="871" ht="41" customHeight="1" spans="1:11">
      <c r="A871" s="111">
        <v>30</v>
      </c>
      <c r="B871" s="112">
        <v>13308001210000</v>
      </c>
      <c r="C871" s="67" t="s">
        <v>1978</v>
      </c>
      <c r="D871" s="67" t="s">
        <v>1979</v>
      </c>
      <c r="E871" s="67" t="s">
        <v>1976</v>
      </c>
      <c r="F871" s="37"/>
      <c r="G871" s="37"/>
      <c r="H871" s="67" t="s">
        <v>35</v>
      </c>
      <c r="I871" s="37"/>
      <c r="J871" s="129">
        <v>1972</v>
      </c>
      <c r="K871" s="39" t="s">
        <v>40</v>
      </c>
    </row>
    <row r="872" ht="41" customHeight="1" spans="1:11">
      <c r="A872" s="115"/>
      <c r="B872" s="112">
        <v>13308001210001</v>
      </c>
      <c r="C872" s="67" t="s">
        <v>1980</v>
      </c>
      <c r="D872" s="37"/>
      <c r="E872" s="37"/>
      <c r="F872" s="37"/>
      <c r="G872" s="37"/>
      <c r="H872" s="67" t="s">
        <v>35</v>
      </c>
      <c r="I872" s="37"/>
      <c r="J872" s="129">
        <f t="shared" ref="J872:J876" si="49">+J871*0.2</f>
        <v>394.4</v>
      </c>
      <c r="K872" s="39" t="s">
        <v>40</v>
      </c>
    </row>
    <row r="873" ht="41" customHeight="1" spans="1:11">
      <c r="A873" s="111">
        <v>31</v>
      </c>
      <c r="B873" s="112">
        <v>13308001220000</v>
      </c>
      <c r="C873" s="67" t="s">
        <v>1981</v>
      </c>
      <c r="D873" s="67" t="s">
        <v>1982</v>
      </c>
      <c r="E873" s="67" t="s">
        <v>1976</v>
      </c>
      <c r="F873" s="37"/>
      <c r="G873" s="37"/>
      <c r="H873" s="67" t="s">
        <v>35</v>
      </c>
      <c r="I873" s="67" t="s">
        <v>1983</v>
      </c>
      <c r="J873" s="129">
        <v>2328</v>
      </c>
      <c r="K873" s="39" t="s">
        <v>40</v>
      </c>
    </row>
    <row r="874" ht="41" customHeight="1" spans="1:11">
      <c r="A874" s="115"/>
      <c r="B874" s="112">
        <v>13308001220001</v>
      </c>
      <c r="C874" s="67" t="s">
        <v>1984</v>
      </c>
      <c r="D874" s="37"/>
      <c r="E874" s="37"/>
      <c r="F874" s="37"/>
      <c r="G874" s="37"/>
      <c r="H874" s="67" t="s">
        <v>35</v>
      </c>
      <c r="I874" s="37"/>
      <c r="J874" s="129">
        <f t="shared" si="49"/>
        <v>465.6</v>
      </c>
      <c r="K874" s="39" t="s">
        <v>40</v>
      </c>
    </row>
    <row r="875" ht="41" customHeight="1" spans="1:11">
      <c r="A875" s="111">
        <v>32</v>
      </c>
      <c r="B875" s="112">
        <v>13309000090000</v>
      </c>
      <c r="C875" s="67" t="s">
        <v>1985</v>
      </c>
      <c r="D875" s="67" t="s">
        <v>1986</v>
      </c>
      <c r="E875" s="67" t="s">
        <v>1987</v>
      </c>
      <c r="F875" s="37"/>
      <c r="G875" s="37"/>
      <c r="H875" s="67" t="s">
        <v>35</v>
      </c>
      <c r="I875" s="37"/>
      <c r="J875" s="129">
        <v>1530</v>
      </c>
      <c r="K875" s="39" t="s">
        <v>40</v>
      </c>
    </row>
    <row r="876" ht="41" customHeight="1" spans="1:11">
      <c r="A876" s="115"/>
      <c r="B876" s="112">
        <v>13309000090001</v>
      </c>
      <c r="C876" s="67" t="s">
        <v>1988</v>
      </c>
      <c r="D876" s="37"/>
      <c r="E876" s="37"/>
      <c r="F876" s="37"/>
      <c r="G876" s="37"/>
      <c r="H876" s="67" t="s">
        <v>35</v>
      </c>
      <c r="I876" s="37"/>
      <c r="J876" s="129">
        <f t="shared" si="49"/>
        <v>306</v>
      </c>
      <c r="K876" s="39" t="s">
        <v>40</v>
      </c>
    </row>
    <row r="877" ht="41" customHeight="1" spans="1:11">
      <c r="A877" s="111">
        <v>33</v>
      </c>
      <c r="B877" s="112">
        <v>13309000010000</v>
      </c>
      <c r="C877" s="67" t="s">
        <v>1989</v>
      </c>
      <c r="D877" s="67" t="s">
        <v>1990</v>
      </c>
      <c r="E877" s="67" t="s">
        <v>1991</v>
      </c>
      <c r="F877" s="37"/>
      <c r="G877" s="37"/>
      <c r="H877" s="67" t="s">
        <v>35</v>
      </c>
      <c r="I877" s="37"/>
      <c r="J877" s="129">
        <v>1650</v>
      </c>
      <c r="K877" s="39" t="s">
        <v>40</v>
      </c>
    </row>
    <row r="878" ht="41" customHeight="1" spans="1:11">
      <c r="A878" s="115"/>
      <c r="B878" s="112">
        <v>13309000010001</v>
      </c>
      <c r="C878" s="67" t="s">
        <v>1992</v>
      </c>
      <c r="D878" s="37"/>
      <c r="E878" s="37"/>
      <c r="F878" s="37"/>
      <c r="G878" s="37"/>
      <c r="H878" s="67" t="s">
        <v>35</v>
      </c>
      <c r="I878" s="37"/>
      <c r="J878" s="129">
        <f t="shared" ref="J878:J882" si="50">+J877*0.2</f>
        <v>330</v>
      </c>
      <c r="K878" s="39" t="s">
        <v>40</v>
      </c>
    </row>
    <row r="879" ht="41" customHeight="1" spans="1:11">
      <c r="A879" s="111">
        <v>34</v>
      </c>
      <c r="B879" s="112">
        <v>13308001230000</v>
      </c>
      <c r="C879" s="67" t="s">
        <v>1993</v>
      </c>
      <c r="D879" s="67" t="s">
        <v>1994</v>
      </c>
      <c r="E879" s="67" t="s">
        <v>1995</v>
      </c>
      <c r="F879" s="37"/>
      <c r="G879" s="37"/>
      <c r="H879" s="67" t="s">
        <v>1888</v>
      </c>
      <c r="I879" s="67" t="s">
        <v>1889</v>
      </c>
      <c r="J879" s="129">
        <v>2050</v>
      </c>
      <c r="K879" s="39" t="s">
        <v>40</v>
      </c>
    </row>
    <row r="880" ht="41" customHeight="1" spans="1:11">
      <c r="A880" s="115"/>
      <c r="B880" s="112">
        <v>13308001230001</v>
      </c>
      <c r="C880" s="67" t="s">
        <v>1996</v>
      </c>
      <c r="D880" s="37"/>
      <c r="E880" s="37"/>
      <c r="F880" s="37"/>
      <c r="G880" s="37"/>
      <c r="H880" s="67" t="s">
        <v>1888</v>
      </c>
      <c r="I880" s="37"/>
      <c r="J880" s="129">
        <f t="shared" si="50"/>
        <v>410</v>
      </c>
      <c r="K880" s="39" t="s">
        <v>40</v>
      </c>
    </row>
    <row r="881" ht="41" customHeight="1" spans="1:11">
      <c r="A881" s="111">
        <v>35</v>
      </c>
      <c r="B881" s="112">
        <v>13308001240000</v>
      </c>
      <c r="C881" s="67" t="s">
        <v>1997</v>
      </c>
      <c r="D881" s="67" t="s">
        <v>1998</v>
      </c>
      <c r="E881" s="67" t="s">
        <v>1999</v>
      </c>
      <c r="F881" s="37"/>
      <c r="G881" s="37"/>
      <c r="H881" s="67" t="s">
        <v>1888</v>
      </c>
      <c r="I881" s="67" t="s">
        <v>1889</v>
      </c>
      <c r="J881" s="129">
        <v>1890</v>
      </c>
      <c r="K881" s="39" t="s">
        <v>47</v>
      </c>
    </row>
    <row r="882" ht="41" customHeight="1" spans="1:11">
      <c r="A882" s="115"/>
      <c r="B882" s="112">
        <v>13308001240001</v>
      </c>
      <c r="C882" s="67" t="s">
        <v>2000</v>
      </c>
      <c r="D882" s="37"/>
      <c r="E882" s="37"/>
      <c r="F882" s="37"/>
      <c r="G882" s="37"/>
      <c r="H882" s="67" t="s">
        <v>1888</v>
      </c>
      <c r="I882" s="37"/>
      <c r="J882" s="129">
        <f t="shared" si="50"/>
        <v>378</v>
      </c>
      <c r="K882" s="39" t="s">
        <v>47</v>
      </c>
    </row>
    <row r="883" ht="41" customHeight="1" spans="1:11">
      <c r="A883" s="111">
        <v>36</v>
      </c>
      <c r="B883" s="112">
        <v>13308001250000</v>
      </c>
      <c r="C883" s="67" t="s">
        <v>2001</v>
      </c>
      <c r="D883" s="67" t="s">
        <v>2002</v>
      </c>
      <c r="E883" s="67" t="s">
        <v>2003</v>
      </c>
      <c r="F883" s="37"/>
      <c r="G883" s="37"/>
      <c r="H883" s="67" t="s">
        <v>1888</v>
      </c>
      <c r="I883" s="67" t="s">
        <v>2004</v>
      </c>
      <c r="J883" s="129">
        <v>2267</v>
      </c>
      <c r="K883" s="39" t="s">
        <v>47</v>
      </c>
    </row>
    <row r="884" ht="41" customHeight="1" spans="1:11">
      <c r="A884" s="115"/>
      <c r="B884" s="112">
        <v>13308001250001</v>
      </c>
      <c r="C884" s="67" t="s">
        <v>2005</v>
      </c>
      <c r="D884" s="37"/>
      <c r="E884" s="37"/>
      <c r="F884" s="37"/>
      <c r="G884" s="37"/>
      <c r="H884" s="67" t="s">
        <v>1888</v>
      </c>
      <c r="I884" s="37"/>
      <c r="J884" s="129">
        <f t="shared" ref="J884:J888" si="51">+J883*0.2</f>
        <v>453.4</v>
      </c>
      <c r="K884" s="39" t="s">
        <v>47</v>
      </c>
    </row>
    <row r="885" ht="41" customHeight="1" spans="1:11">
      <c r="A885" s="111">
        <v>37</v>
      </c>
      <c r="B885" s="112">
        <v>13308001260000</v>
      </c>
      <c r="C885" s="67" t="s">
        <v>2006</v>
      </c>
      <c r="D885" s="67" t="s">
        <v>2007</v>
      </c>
      <c r="E885" s="67" t="s">
        <v>2008</v>
      </c>
      <c r="F885" s="37"/>
      <c r="G885" s="37"/>
      <c r="H885" s="67" t="s">
        <v>1888</v>
      </c>
      <c r="I885" s="67" t="s">
        <v>1889</v>
      </c>
      <c r="J885" s="129">
        <v>1950</v>
      </c>
      <c r="K885" s="39" t="s">
        <v>47</v>
      </c>
    </row>
    <row r="886" ht="41" customHeight="1" spans="1:11">
      <c r="A886" s="115"/>
      <c r="B886" s="112">
        <v>13308001260001</v>
      </c>
      <c r="C886" s="67" t="s">
        <v>2009</v>
      </c>
      <c r="D886" s="37"/>
      <c r="E886" s="37"/>
      <c r="F886" s="37"/>
      <c r="G886" s="37"/>
      <c r="H886" s="67" t="s">
        <v>1888</v>
      </c>
      <c r="I886" s="37"/>
      <c r="J886" s="129">
        <f t="shared" si="51"/>
        <v>390</v>
      </c>
      <c r="K886" s="39" t="s">
        <v>47</v>
      </c>
    </row>
    <row r="887" ht="41" customHeight="1" spans="1:11">
      <c r="A887" s="111">
        <v>38</v>
      </c>
      <c r="B887" s="112">
        <v>13308001270000</v>
      </c>
      <c r="C887" s="67" t="s">
        <v>2010</v>
      </c>
      <c r="D887" s="67" t="s">
        <v>2011</v>
      </c>
      <c r="E887" s="67" t="s">
        <v>2012</v>
      </c>
      <c r="F887" s="37"/>
      <c r="G887" s="37"/>
      <c r="H887" s="67" t="s">
        <v>35</v>
      </c>
      <c r="I887" s="37"/>
      <c r="J887" s="129">
        <v>2130</v>
      </c>
      <c r="K887" s="39" t="s">
        <v>40</v>
      </c>
    </row>
    <row r="888" ht="41" customHeight="1" spans="1:11">
      <c r="A888" s="115"/>
      <c r="B888" s="112">
        <v>13308001270001</v>
      </c>
      <c r="C888" s="67" t="s">
        <v>2013</v>
      </c>
      <c r="D888" s="37"/>
      <c r="E888" s="37"/>
      <c r="F888" s="37"/>
      <c r="G888" s="37"/>
      <c r="H888" s="67" t="s">
        <v>35</v>
      </c>
      <c r="I888" s="37"/>
      <c r="J888" s="129">
        <f t="shared" si="51"/>
        <v>426</v>
      </c>
      <c r="K888" s="39" t="s">
        <v>40</v>
      </c>
    </row>
    <row r="889" ht="41" customHeight="1" spans="1:11">
      <c r="A889" s="111">
        <v>39</v>
      </c>
      <c r="B889" s="112">
        <v>13308001280000</v>
      </c>
      <c r="C889" s="67" t="s">
        <v>2014</v>
      </c>
      <c r="D889" s="67" t="s">
        <v>2015</v>
      </c>
      <c r="E889" s="67" t="s">
        <v>2016</v>
      </c>
      <c r="F889" s="37"/>
      <c r="G889" s="37"/>
      <c r="H889" s="67" t="s">
        <v>1888</v>
      </c>
      <c r="I889" s="67" t="s">
        <v>2017</v>
      </c>
      <c r="J889" s="129">
        <v>2461</v>
      </c>
      <c r="K889" s="39" t="s">
        <v>40</v>
      </c>
    </row>
    <row r="890" ht="41" customHeight="1" spans="1:11">
      <c r="A890" s="115"/>
      <c r="B890" s="112">
        <v>13308001280001</v>
      </c>
      <c r="C890" s="67" t="s">
        <v>2018</v>
      </c>
      <c r="D890" s="37"/>
      <c r="E890" s="37"/>
      <c r="F890" s="37"/>
      <c r="G890" s="37"/>
      <c r="H890" s="67" t="s">
        <v>1888</v>
      </c>
      <c r="I890" s="37"/>
      <c r="J890" s="129">
        <f t="shared" ref="J890:J894" si="52">+J889*0.2</f>
        <v>492.2</v>
      </c>
      <c r="K890" s="39" t="s">
        <v>40</v>
      </c>
    </row>
    <row r="891" ht="41" customHeight="1" spans="1:11">
      <c r="A891" s="111">
        <v>40</v>
      </c>
      <c r="B891" s="112">
        <v>13308001290000</v>
      </c>
      <c r="C891" s="67" t="s">
        <v>2019</v>
      </c>
      <c r="D891" s="67" t="s">
        <v>2020</v>
      </c>
      <c r="E891" s="67" t="s">
        <v>2021</v>
      </c>
      <c r="F891" s="37"/>
      <c r="G891" s="37"/>
      <c r="H891" s="67" t="s">
        <v>1888</v>
      </c>
      <c r="I891" s="67" t="s">
        <v>1889</v>
      </c>
      <c r="J891" s="129">
        <v>2850</v>
      </c>
      <c r="K891" s="39" t="s">
        <v>40</v>
      </c>
    </row>
    <row r="892" ht="41" customHeight="1" spans="1:11">
      <c r="A892" s="115"/>
      <c r="B892" s="112">
        <v>13308001290001</v>
      </c>
      <c r="C892" s="67" t="s">
        <v>2022</v>
      </c>
      <c r="D892" s="37"/>
      <c r="E892" s="37"/>
      <c r="F892" s="37"/>
      <c r="G892" s="37"/>
      <c r="H892" s="67" t="s">
        <v>1888</v>
      </c>
      <c r="I892" s="37"/>
      <c r="J892" s="129">
        <f t="shared" si="52"/>
        <v>570</v>
      </c>
      <c r="K892" s="39" t="s">
        <v>40</v>
      </c>
    </row>
    <row r="893" ht="41" customHeight="1" spans="1:11">
      <c r="A893" s="111">
        <v>41</v>
      </c>
      <c r="B893" s="112">
        <v>13308001300000</v>
      </c>
      <c r="C893" s="67" t="s">
        <v>2023</v>
      </c>
      <c r="D893" s="67" t="s">
        <v>2024</v>
      </c>
      <c r="E893" s="67" t="s">
        <v>2025</v>
      </c>
      <c r="F893" s="37"/>
      <c r="G893" s="37"/>
      <c r="H893" s="67" t="s">
        <v>1888</v>
      </c>
      <c r="I893" s="67" t="s">
        <v>2026</v>
      </c>
      <c r="J893" s="129">
        <v>2900</v>
      </c>
      <c r="K893" s="39" t="s">
        <v>47</v>
      </c>
    </row>
    <row r="894" ht="41" customHeight="1" spans="1:11">
      <c r="A894" s="115"/>
      <c r="B894" s="112">
        <v>13308001300001</v>
      </c>
      <c r="C894" s="67" t="s">
        <v>2027</v>
      </c>
      <c r="D894" s="37"/>
      <c r="E894" s="37"/>
      <c r="F894" s="37"/>
      <c r="G894" s="37"/>
      <c r="H894" s="67" t="s">
        <v>1888</v>
      </c>
      <c r="I894" s="37"/>
      <c r="J894" s="129">
        <f t="shared" si="52"/>
        <v>580</v>
      </c>
      <c r="K894" s="39" t="s">
        <v>47</v>
      </c>
    </row>
    <row r="895" ht="41" customHeight="1" spans="1:11">
      <c r="A895" s="111">
        <v>42</v>
      </c>
      <c r="B895" s="112">
        <v>13308001310000</v>
      </c>
      <c r="C895" s="67" t="s">
        <v>2028</v>
      </c>
      <c r="D895" s="67" t="s">
        <v>2029</v>
      </c>
      <c r="E895" s="67" t="s">
        <v>2025</v>
      </c>
      <c r="F895" s="37"/>
      <c r="G895" s="37"/>
      <c r="H895" s="67" t="s">
        <v>1888</v>
      </c>
      <c r="I895" s="67" t="s">
        <v>2030</v>
      </c>
      <c r="J895" s="129">
        <v>1735</v>
      </c>
      <c r="K895" s="39" t="s">
        <v>40</v>
      </c>
    </row>
    <row r="896" ht="41" customHeight="1" spans="1:11">
      <c r="A896" s="115"/>
      <c r="B896" s="112">
        <v>13308001310001</v>
      </c>
      <c r="C896" s="67" t="s">
        <v>2031</v>
      </c>
      <c r="D896" s="37"/>
      <c r="E896" s="37"/>
      <c r="F896" s="37"/>
      <c r="G896" s="37"/>
      <c r="H896" s="67" t="s">
        <v>1888</v>
      </c>
      <c r="I896" s="37"/>
      <c r="J896" s="129">
        <f>+J895*0.2</f>
        <v>347</v>
      </c>
      <c r="K896" s="39" t="s">
        <v>40</v>
      </c>
    </row>
    <row r="897" ht="41" customHeight="1" spans="1:11">
      <c r="A897" s="111">
        <v>43</v>
      </c>
      <c r="B897" s="112">
        <v>13308001320000</v>
      </c>
      <c r="C897" s="67" t="s">
        <v>2032</v>
      </c>
      <c r="D897" s="67" t="s">
        <v>2033</v>
      </c>
      <c r="E897" s="67" t="s">
        <v>2034</v>
      </c>
      <c r="F897" s="67" t="s">
        <v>2035</v>
      </c>
      <c r="G897" s="37"/>
      <c r="H897" s="67" t="s">
        <v>2036</v>
      </c>
      <c r="I897" s="67" t="s">
        <v>2037</v>
      </c>
      <c r="J897" s="129">
        <v>1152</v>
      </c>
      <c r="K897" s="39" t="s">
        <v>19</v>
      </c>
    </row>
    <row r="898" ht="41" customHeight="1" spans="1:11">
      <c r="A898" s="114"/>
      <c r="B898" s="112">
        <v>13308001320001</v>
      </c>
      <c r="C898" s="67" t="s">
        <v>2038</v>
      </c>
      <c r="D898" s="37"/>
      <c r="E898" s="37"/>
      <c r="F898" s="37"/>
      <c r="G898" s="37"/>
      <c r="H898" s="67" t="s">
        <v>2036</v>
      </c>
      <c r="I898" s="37"/>
      <c r="J898" s="129">
        <f>+J897*0.2</f>
        <v>230.4</v>
      </c>
      <c r="K898" s="39" t="s">
        <v>19</v>
      </c>
    </row>
    <row r="899" ht="41" customHeight="1" spans="1:11">
      <c r="A899" s="114"/>
      <c r="B899" s="112">
        <v>13308001320011</v>
      </c>
      <c r="C899" s="67" t="s">
        <v>2039</v>
      </c>
      <c r="D899" s="37"/>
      <c r="E899" s="37"/>
      <c r="F899" s="37"/>
      <c r="G899" s="37"/>
      <c r="H899" s="67" t="s">
        <v>2036</v>
      </c>
      <c r="I899" s="37"/>
      <c r="J899" s="129">
        <f>+J897*0.25</f>
        <v>288</v>
      </c>
      <c r="K899" s="39" t="s">
        <v>19</v>
      </c>
    </row>
    <row r="900" ht="41" customHeight="1" spans="1:11">
      <c r="A900" s="115"/>
      <c r="B900" s="112">
        <v>13308001320021</v>
      </c>
      <c r="C900" s="67" t="s">
        <v>2040</v>
      </c>
      <c r="D900" s="37"/>
      <c r="E900" s="37"/>
      <c r="F900" s="37"/>
      <c r="G900" s="37"/>
      <c r="H900" s="67" t="s">
        <v>2036</v>
      </c>
      <c r="I900" s="37"/>
      <c r="J900" s="129">
        <f>+J897*0.3</f>
        <v>345.6</v>
      </c>
      <c r="K900" s="39" t="s">
        <v>19</v>
      </c>
    </row>
    <row r="901" ht="41" customHeight="1" spans="1:11">
      <c r="A901" s="116">
        <v>44</v>
      </c>
      <c r="B901" s="112">
        <v>12408000260000</v>
      </c>
      <c r="C901" s="67" t="s">
        <v>2041</v>
      </c>
      <c r="D901" s="67" t="s">
        <v>2042</v>
      </c>
      <c r="E901" s="67" t="s">
        <v>2043</v>
      </c>
      <c r="F901" s="37"/>
      <c r="G901" s="37"/>
      <c r="H901" s="67" t="s">
        <v>35</v>
      </c>
      <c r="I901" s="67" t="s">
        <v>2044</v>
      </c>
      <c r="J901" s="129">
        <v>1065</v>
      </c>
      <c r="K901" s="39" t="s">
        <v>40</v>
      </c>
    </row>
    <row r="902" ht="41" customHeight="1" spans="1:11">
      <c r="A902" s="111">
        <v>45</v>
      </c>
      <c r="B902" s="112">
        <v>12301010090000</v>
      </c>
      <c r="C902" s="67" t="s">
        <v>2045</v>
      </c>
      <c r="D902" s="67" t="s">
        <v>2046</v>
      </c>
      <c r="E902" s="67" t="s">
        <v>2047</v>
      </c>
      <c r="F902" s="37"/>
      <c r="G902" s="67" t="s">
        <v>2048</v>
      </c>
      <c r="H902" s="67" t="s">
        <v>35</v>
      </c>
      <c r="I902" s="67" t="s">
        <v>2049</v>
      </c>
      <c r="J902" s="129">
        <v>323</v>
      </c>
      <c r="K902" s="39" t="s">
        <v>40</v>
      </c>
    </row>
    <row r="903" ht="41" customHeight="1" spans="1:11">
      <c r="A903" s="115"/>
      <c r="B903" s="112">
        <v>12301010090100</v>
      </c>
      <c r="C903" s="67" t="s">
        <v>2050</v>
      </c>
      <c r="D903" s="37"/>
      <c r="E903" s="37"/>
      <c r="F903" s="37"/>
      <c r="G903" s="37"/>
      <c r="H903" s="67" t="s">
        <v>35</v>
      </c>
      <c r="I903" s="37"/>
      <c r="J903" s="129">
        <v>323</v>
      </c>
      <c r="K903" s="39" t="s">
        <v>40</v>
      </c>
    </row>
    <row r="904" ht="41" customHeight="1" spans="1:11">
      <c r="A904" s="111">
        <v>46</v>
      </c>
      <c r="B904" s="112">
        <v>13308001330000</v>
      </c>
      <c r="C904" s="67" t="s">
        <v>2051</v>
      </c>
      <c r="D904" s="67" t="s">
        <v>2052</v>
      </c>
      <c r="E904" s="67" t="s">
        <v>2053</v>
      </c>
      <c r="F904" s="37"/>
      <c r="G904" s="37"/>
      <c r="H904" s="67" t="s">
        <v>35</v>
      </c>
      <c r="I904" s="67" t="s">
        <v>2054</v>
      </c>
      <c r="J904" s="129">
        <v>1416</v>
      </c>
      <c r="K904" s="39" t="s">
        <v>19</v>
      </c>
    </row>
    <row r="905" ht="41" customHeight="1" spans="1:11">
      <c r="A905" s="115"/>
      <c r="B905" s="112">
        <v>13308001330001</v>
      </c>
      <c r="C905" s="67" t="s">
        <v>2055</v>
      </c>
      <c r="D905" s="37"/>
      <c r="E905" s="37"/>
      <c r="F905" s="37"/>
      <c r="G905" s="37"/>
      <c r="H905" s="67" t="s">
        <v>35</v>
      </c>
      <c r="I905" s="37"/>
      <c r="J905" s="129">
        <f t="shared" ref="J905:J909" si="53">+J904*0.2</f>
        <v>283.2</v>
      </c>
      <c r="K905" s="39" t="s">
        <v>19</v>
      </c>
    </row>
    <row r="906" ht="41" customHeight="1" spans="1:11">
      <c r="A906" s="111">
        <v>47</v>
      </c>
      <c r="B906" s="112">
        <v>13308001340000</v>
      </c>
      <c r="C906" s="67" t="s">
        <v>2056</v>
      </c>
      <c r="D906" s="67" t="s">
        <v>2057</v>
      </c>
      <c r="E906" s="67" t="s">
        <v>2058</v>
      </c>
      <c r="F906" s="37"/>
      <c r="G906" s="37"/>
      <c r="H906" s="67" t="s">
        <v>35</v>
      </c>
      <c r="I906" s="67" t="s">
        <v>2054</v>
      </c>
      <c r="J906" s="129">
        <v>868</v>
      </c>
      <c r="K906" s="39" t="s">
        <v>19</v>
      </c>
    </row>
    <row r="907" ht="41" customHeight="1" spans="1:11">
      <c r="A907" s="115"/>
      <c r="B907" s="112">
        <v>13308001340001</v>
      </c>
      <c r="C907" s="67" t="s">
        <v>2059</v>
      </c>
      <c r="D907" s="37"/>
      <c r="E907" s="37"/>
      <c r="F907" s="37"/>
      <c r="G907" s="37"/>
      <c r="H907" s="67" t="s">
        <v>35</v>
      </c>
      <c r="I907" s="37"/>
      <c r="J907" s="129">
        <f t="shared" si="53"/>
        <v>173.6</v>
      </c>
      <c r="K907" s="39" t="s">
        <v>19</v>
      </c>
    </row>
    <row r="908" ht="41" customHeight="1" spans="1:11">
      <c r="A908" s="111">
        <v>48</v>
      </c>
      <c r="B908" s="112">
        <v>13308001350000</v>
      </c>
      <c r="C908" s="67" t="s">
        <v>2060</v>
      </c>
      <c r="D908" s="67" t="s">
        <v>2061</v>
      </c>
      <c r="E908" s="67" t="s">
        <v>2062</v>
      </c>
      <c r="F908" s="37"/>
      <c r="G908" s="37"/>
      <c r="H908" s="67" t="s">
        <v>35</v>
      </c>
      <c r="I908" s="67" t="s">
        <v>2063</v>
      </c>
      <c r="J908" s="129">
        <v>4627</v>
      </c>
      <c r="K908" s="39" t="s">
        <v>47</v>
      </c>
    </row>
    <row r="909" ht="41" customHeight="1" spans="1:11">
      <c r="A909" s="115"/>
      <c r="B909" s="112">
        <v>13308001350001</v>
      </c>
      <c r="C909" s="67" t="s">
        <v>2064</v>
      </c>
      <c r="D909" s="37"/>
      <c r="E909" s="37"/>
      <c r="F909" s="37"/>
      <c r="G909" s="37"/>
      <c r="H909" s="67" t="s">
        <v>35</v>
      </c>
      <c r="I909" s="37"/>
      <c r="J909" s="129">
        <f t="shared" si="53"/>
        <v>925.4</v>
      </c>
      <c r="K909" s="39" t="s">
        <v>47</v>
      </c>
    </row>
    <row r="910" ht="41" customHeight="1" spans="1:11">
      <c r="A910" s="111">
        <v>49</v>
      </c>
      <c r="B910" s="112">
        <v>13308001360000</v>
      </c>
      <c r="C910" s="67" t="s">
        <v>2065</v>
      </c>
      <c r="D910" s="67" t="s">
        <v>2066</v>
      </c>
      <c r="E910" s="67" t="s">
        <v>2062</v>
      </c>
      <c r="F910" s="67" t="s">
        <v>2067</v>
      </c>
      <c r="G910" s="37"/>
      <c r="H910" s="67" t="s">
        <v>35</v>
      </c>
      <c r="I910" s="67" t="s">
        <v>2068</v>
      </c>
      <c r="J910" s="129">
        <v>9045</v>
      </c>
      <c r="K910" s="39" t="s">
        <v>47</v>
      </c>
    </row>
    <row r="911" ht="41" customHeight="1" spans="1:11">
      <c r="A911" s="114"/>
      <c r="B911" s="112">
        <v>13308001360001</v>
      </c>
      <c r="C911" s="67" t="s">
        <v>2069</v>
      </c>
      <c r="D911" s="37"/>
      <c r="E911" s="37"/>
      <c r="F911" s="37"/>
      <c r="G911" s="37"/>
      <c r="H911" s="67" t="s">
        <v>35</v>
      </c>
      <c r="I911" s="37"/>
      <c r="J911" s="129">
        <f t="shared" ref="J911:J916" si="54">+J910*0.2</f>
        <v>1809</v>
      </c>
      <c r="K911" s="39" t="s">
        <v>47</v>
      </c>
    </row>
    <row r="912" ht="41" customHeight="1" spans="1:11">
      <c r="A912" s="115"/>
      <c r="B912" s="112">
        <v>13308001360011</v>
      </c>
      <c r="C912" s="67" t="s">
        <v>2070</v>
      </c>
      <c r="D912" s="37"/>
      <c r="E912" s="37"/>
      <c r="F912" s="37"/>
      <c r="G912" s="37"/>
      <c r="H912" s="67" t="s">
        <v>35</v>
      </c>
      <c r="I912" s="37"/>
      <c r="J912" s="129">
        <f>+J910*0.1</f>
        <v>904.5</v>
      </c>
      <c r="K912" s="39" t="s">
        <v>47</v>
      </c>
    </row>
    <row r="913" ht="41" customHeight="1" spans="1:11">
      <c r="A913" s="111">
        <v>50</v>
      </c>
      <c r="B913" s="112">
        <v>13308001370000</v>
      </c>
      <c r="C913" s="67" t="s">
        <v>2071</v>
      </c>
      <c r="D913" s="67" t="s">
        <v>2072</v>
      </c>
      <c r="E913" s="67" t="s">
        <v>2062</v>
      </c>
      <c r="F913" s="37"/>
      <c r="G913" s="37"/>
      <c r="H913" s="67" t="s">
        <v>35</v>
      </c>
      <c r="I913" s="67" t="s">
        <v>2073</v>
      </c>
      <c r="J913" s="129">
        <v>3033</v>
      </c>
      <c r="K913" s="39" t="s">
        <v>47</v>
      </c>
    </row>
    <row r="914" ht="41" customHeight="1" spans="1:11">
      <c r="A914" s="115"/>
      <c r="B914" s="112">
        <v>13308001370001</v>
      </c>
      <c r="C914" s="67" t="s">
        <v>2074</v>
      </c>
      <c r="D914" s="37"/>
      <c r="E914" s="37"/>
      <c r="F914" s="37"/>
      <c r="G914" s="37"/>
      <c r="H914" s="67" t="s">
        <v>35</v>
      </c>
      <c r="I914" s="37"/>
      <c r="J914" s="129">
        <f t="shared" si="54"/>
        <v>606.6</v>
      </c>
      <c r="K914" s="39" t="s">
        <v>47</v>
      </c>
    </row>
    <row r="915" ht="41" customHeight="1" spans="1:11">
      <c r="A915" s="111">
        <v>51</v>
      </c>
      <c r="B915" s="112">
        <v>13308001380000</v>
      </c>
      <c r="C915" s="67" t="s">
        <v>2075</v>
      </c>
      <c r="D915" s="67" t="s">
        <v>2076</v>
      </c>
      <c r="E915" s="67" t="s">
        <v>2062</v>
      </c>
      <c r="F915" s="67" t="s">
        <v>2077</v>
      </c>
      <c r="G915" s="37"/>
      <c r="H915" s="67" t="s">
        <v>35</v>
      </c>
      <c r="I915" s="67" t="s">
        <v>2078</v>
      </c>
      <c r="J915" s="129">
        <v>3639</v>
      </c>
      <c r="K915" s="39" t="s">
        <v>47</v>
      </c>
    </row>
    <row r="916" ht="41" customHeight="1" spans="1:11">
      <c r="A916" s="114"/>
      <c r="B916" s="112">
        <v>13308001380001</v>
      </c>
      <c r="C916" s="67" t="s">
        <v>2079</v>
      </c>
      <c r="D916" s="37"/>
      <c r="E916" s="37"/>
      <c r="F916" s="37"/>
      <c r="G916" s="37"/>
      <c r="H916" s="67" t="s">
        <v>35</v>
      </c>
      <c r="I916" s="37"/>
      <c r="J916" s="129">
        <f t="shared" si="54"/>
        <v>727.8</v>
      </c>
      <c r="K916" s="39" t="s">
        <v>47</v>
      </c>
    </row>
    <row r="917" ht="41" customHeight="1" spans="1:11">
      <c r="A917" s="115"/>
      <c r="B917" s="112">
        <v>13308001380011</v>
      </c>
      <c r="C917" s="67" t="s">
        <v>2080</v>
      </c>
      <c r="D917" s="37"/>
      <c r="E917" s="37"/>
      <c r="F917" s="37"/>
      <c r="G917" s="37"/>
      <c r="H917" s="67" t="s">
        <v>35</v>
      </c>
      <c r="I917" s="37"/>
      <c r="J917" s="129">
        <f>+J915*0.1</f>
        <v>363.9</v>
      </c>
      <c r="K917" s="39" t="s">
        <v>47</v>
      </c>
    </row>
    <row r="918" ht="41" customHeight="1" spans="1:11">
      <c r="A918" s="111">
        <v>52</v>
      </c>
      <c r="B918" s="112">
        <v>13308001390000</v>
      </c>
      <c r="C918" s="67" t="s">
        <v>2081</v>
      </c>
      <c r="D918" s="67" t="s">
        <v>2082</v>
      </c>
      <c r="E918" s="67" t="s">
        <v>2062</v>
      </c>
      <c r="F918" s="37"/>
      <c r="G918" s="37"/>
      <c r="H918" s="67" t="s">
        <v>35</v>
      </c>
      <c r="I918" s="67" t="s">
        <v>2083</v>
      </c>
      <c r="J918" s="129">
        <v>3027</v>
      </c>
      <c r="K918" s="39" t="s">
        <v>19</v>
      </c>
    </row>
    <row r="919" ht="41" customHeight="1" spans="1:11">
      <c r="A919" s="115"/>
      <c r="B919" s="112">
        <v>13308001390001</v>
      </c>
      <c r="C919" s="67" t="s">
        <v>2084</v>
      </c>
      <c r="D919" s="37"/>
      <c r="E919" s="37"/>
      <c r="F919" s="37"/>
      <c r="G919" s="37"/>
      <c r="H919" s="67" t="s">
        <v>35</v>
      </c>
      <c r="I919" s="37"/>
      <c r="J919" s="129">
        <f t="shared" ref="J919:J924" si="55">+J918*0.2</f>
        <v>605.4</v>
      </c>
      <c r="K919" s="39" t="s">
        <v>19</v>
      </c>
    </row>
    <row r="920" ht="41" customHeight="1" spans="1:11">
      <c r="A920" s="111">
        <v>53</v>
      </c>
      <c r="B920" s="112">
        <v>13308001400000</v>
      </c>
      <c r="C920" s="67" t="s">
        <v>2085</v>
      </c>
      <c r="D920" s="67" t="s">
        <v>2086</v>
      </c>
      <c r="E920" s="67" t="s">
        <v>2062</v>
      </c>
      <c r="F920" s="67" t="s">
        <v>2087</v>
      </c>
      <c r="G920" s="37"/>
      <c r="H920" s="67" t="s">
        <v>35</v>
      </c>
      <c r="I920" s="67" t="s">
        <v>2088</v>
      </c>
      <c r="J920" s="129">
        <v>3631</v>
      </c>
      <c r="K920" s="39" t="s">
        <v>19</v>
      </c>
    </row>
    <row r="921" ht="41" customHeight="1" spans="1:11">
      <c r="A921" s="114"/>
      <c r="B921" s="112">
        <v>13308001400001</v>
      </c>
      <c r="C921" s="67" t="s">
        <v>2089</v>
      </c>
      <c r="D921" s="37"/>
      <c r="E921" s="37"/>
      <c r="F921" s="37"/>
      <c r="G921" s="37"/>
      <c r="H921" s="67" t="s">
        <v>35</v>
      </c>
      <c r="I921" s="37"/>
      <c r="J921" s="129">
        <f t="shared" si="55"/>
        <v>726.2</v>
      </c>
      <c r="K921" s="39" t="s">
        <v>19</v>
      </c>
    </row>
    <row r="922" ht="41" customHeight="1" spans="1:11">
      <c r="A922" s="115"/>
      <c r="B922" s="112">
        <v>13308001400011</v>
      </c>
      <c r="C922" s="67" t="s">
        <v>2090</v>
      </c>
      <c r="D922" s="37"/>
      <c r="E922" s="37"/>
      <c r="F922" s="37"/>
      <c r="G922" s="37"/>
      <c r="H922" s="67" t="s">
        <v>35</v>
      </c>
      <c r="I922" s="37"/>
      <c r="J922" s="129">
        <f>+J920*0.1</f>
        <v>363.1</v>
      </c>
      <c r="K922" s="39" t="s">
        <v>19</v>
      </c>
    </row>
    <row r="923" ht="41" customHeight="1" spans="1:11">
      <c r="A923" s="111">
        <v>54</v>
      </c>
      <c r="B923" s="112">
        <v>13308001410000</v>
      </c>
      <c r="C923" s="67" t="s">
        <v>2091</v>
      </c>
      <c r="D923" s="67" t="s">
        <v>2092</v>
      </c>
      <c r="E923" s="67" t="s">
        <v>2093</v>
      </c>
      <c r="F923" s="37"/>
      <c r="G923" s="37"/>
      <c r="H923" s="67" t="s">
        <v>35</v>
      </c>
      <c r="I923" s="37"/>
      <c r="J923" s="129">
        <v>1074</v>
      </c>
      <c r="K923" s="39" t="s">
        <v>47</v>
      </c>
    </row>
    <row r="924" ht="41" customHeight="1" spans="1:11">
      <c r="A924" s="115"/>
      <c r="B924" s="112">
        <v>13308001410001</v>
      </c>
      <c r="C924" s="67" t="s">
        <v>2094</v>
      </c>
      <c r="D924" s="37"/>
      <c r="E924" s="37"/>
      <c r="F924" s="37"/>
      <c r="G924" s="37"/>
      <c r="H924" s="67" t="s">
        <v>35</v>
      </c>
      <c r="I924" s="37"/>
      <c r="J924" s="129">
        <f t="shared" si="55"/>
        <v>214.8</v>
      </c>
      <c r="K924" s="39" t="s">
        <v>47</v>
      </c>
    </row>
    <row r="925" ht="41" customHeight="1" spans="1:11">
      <c r="A925" s="111">
        <v>55</v>
      </c>
      <c r="B925" s="112">
        <v>13308001420000</v>
      </c>
      <c r="C925" s="67" t="s">
        <v>2095</v>
      </c>
      <c r="D925" s="67" t="s">
        <v>2096</v>
      </c>
      <c r="E925" s="67" t="s">
        <v>2062</v>
      </c>
      <c r="F925" s="37"/>
      <c r="G925" s="37"/>
      <c r="H925" s="67" t="s">
        <v>35</v>
      </c>
      <c r="I925" s="67" t="s">
        <v>2097</v>
      </c>
      <c r="J925" s="129">
        <v>4941</v>
      </c>
      <c r="K925" s="39" t="s">
        <v>47</v>
      </c>
    </row>
    <row r="926" ht="41" customHeight="1" spans="1:11">
      <c r="A926" s="115"/>
      <c r="B926" s="112">
        <v>13308001420001</v>
      </c>
      <c r="C926" s="67" t="s">
        <v>2098</v>
      </c>
      <c r="D926" s="37"/>
      <c r="E926" s="37"/>
      <c r="F926" s="37"/>
      <c r="G926" s="37"/>
      <c r="H926" s="67" t="s">
        <v>35</v>
      </c>
      <c r="I926" s="37"/>
      <c r="J926" s="129">
        <f t="shared" ref="J926:J930" si="56">+J925*0.2</f>
        <v>988.2</v>
      </c>
      <c r="K926" s="39" t="s">
        <v>47</v>
      </c>
    </row>
    <row r="927" ht="41" customHeight="1" spans="1:11">
      <c r="A927" s="111">
        <v>56</v>
      </c>
      <c r="B927" s="112">
        <v>13308001430000</v>
      </c>
      <c r="C927" s="67" t="s">
        <v>2099</v>
      </c>
      <c r="D927" s="67" t="s">
        <v>2100</v>
      </c>
      <c r="E927" s="67" t="s">
        <v>2062</v>
      </c>
      <c r="F927" s="37"/>
      <c r="G927" s="37"/>
      <c r="H927" s="67" t="s">
        <v>35</v>
      </c>
      <c r="I927" s="67" t="s">
        <v>2097</v>
      </c>
      <c r="J927" s="129">
        <v>5432</v>
      </c>
      <c r="K927" s="39" t="s">
        <v>19</v>
      </c>
    </row>
    <row r="928" ht="41" customHeight="1" spans="1:11">
      <c r="A928" s="115"/>
      <c r="B928" s="112">
        <v>13308001430001</v>
      </c>
      <c r="C928" s="67" t="s">
        <v>2101</v>
      </c>
      <c r="D928" s="37"/>
      <c r="E928" s="37"/>
      <c r="F928" s="37"/>
      <c r="G928" s="37"/>
      <c r="H928" s="67" t="s">
        <v>35</v>
      </c>
      <c r="I928" s="37"/>
      <c r="J928" s="129">
        <f t="shared" si="56"/>
        <v>1086.4</v>
      </c>
      <c r="K928" s="39" t="s">
        <v>19</v>
      </c>
    </row>
    <row r="929" ht="41" customHeight="1" spans="1:11">
      <c r="A929" s="111">
        <v>57</v>
      </c>
      <c r="B929" s="112">
        <v>13308001440000</v>
      </c>
      <c r="C929" s="67" t="s">
        <v>2102</v>
      </c>
      <c r="D929" s="67" t="s">
        <v>2103</v>
      </c>
      <c r="E929" s="67" t="s">
        <v>2062</v>
      </c>
      <c r="F929" s="37"/>
      <c r="G929" s="37"/>
      <c r="H929" s="67" t="s">
        <v>35</v>
      </c>
      <c r="I929" s="67" t="s">
        <v>2097</v>
      </c>
      <c r="J929" s="129">
        <v>5712</v>
      </c>
      <c r="K929" s="39" t="s">
        <v>47</v>
      </c>
    </row>
    <row r="930" ht="41" customHeight="1" spans="1:11">
      <c r="A930" s="115"/>
      <c r="B930" s="112">
        <v>13308001440001</v>
      </c>
      <c r="C930" s="67" t="s">
        <v>2104</v>
      </c>
      <c r="D930" s="37"/>
      <c r="E930" s="37"/>
      <c r="F930" s="37"/>
      <c r="G930" s="37"/>
      <c r="H930" s="67" t="s">
        <v>35</v>
      </c>
      <c r="I930" s="37"/>
      <c r="J930" s="129">
        <f t="shared" si="56"/>
        <v>1142.4</v>
      </c>
      <c r="K930" s="39" t="s">
        <v>47</v>
      </c>
    </row>
    <row r="931" ht="41" customHeight="1" spans="1:11">
      <c r="A931" s="111">
        <v>58</v>
      </c>
      <c r="B931" s="112">
        <v>13308001450000</v>
      </c>
      <c r="C931" s="67" t="s">
        <v>2105</v>
      </c>
      <c r="D931" s="67" t="s">
        <v>2106</v>
      </c>
      <c r="E931" s="67" t="s">
        <v>2062</v>
      </c>
      <c r="F931" s="37"/>
      <c r="G931" s="37"/>
      <c r="H931" s="67" t="s">
        <v>35</v>
      </c>
      <c r="I931" s="67" t="s">
        <v>2097</v>
      </c>
      <c r="J931" s="129">
        <v>5852</v>
      </c>
      <c r="K931" s="39" t="s">
        <v>40</v>
      </c>
    </row>
    <row r="932" ht="41" customHeight="1" spans="1:11">
      <c r="A932" s="115"/>
      <c r="B932" s="112">
        <v>13308001450001</v>
      </c>
      <c r="C932" s="67" t="s">
        <v>2107</v>
      </c>
      <c r="D932" s="37"/>
      <c r="E932" s="37"/>
      <c r="F932" s="37"/>
      <c r="G932" s="37"/>
      <c r="H932" s="67" t="s">
        <v>35</v>
      </c>
      <c r="I932" s="37"/>
      <c r="J932" s="129">
        <f t="shared" ref="J932:J936" si="57">+J931*0.2</f>
        <v>1170.4</v>
      </c>
      <c r="K932" s="39" t="s">
        <v>40</v>
      </c>
    </row>
    <row r="933" ht="41" customHeight="1" spans="1:11">
      <c r="A933" s="111">
        <v>59</v>
      </c>
      <c r="B933" s="112">
        <v>13308001460000</v>
      </c>
      <c r="C933" s="67" t="s">
        <v>2108</v>
      </c>
      <c r="D933" s="67" t="s">
        <v>2109</v>
      </c>
      <c r="E933" s="67" t="s">
        <v>2110</v>
      </c>
      <c r="F933" s="37"/>
      <c r="G933" s="37"/>
      <c r="H933" s="67" t="s">
        <v>35</v>
      </c>
      <c r="I933" s="67" t="s">
        <v>2111</v>
      </c>
      <c r="J933" s="129">
        <v>3871</v>
      </c>
      <c r="K933" s="39" t="s">
        <v>47</v>
      </c>
    </row>
    <row r="934" ht="41" customHeight="1" spans="1:11">
      <c r="A934" s="115"/>
      <c r="B934" s="112">
        <v>13308001460001</v>
      </c>
      <c r="C934" s="67" t="s">
        <v>2112</v>
      </c>
      <c r="D934" s="37"/>
      <c r="E934" s="37"/>
      <c r="F934" s="37"/>
      <c r="G934" s="37"/>
      <c r="H934" s="67" t="s">
        <v>35</v>
      </c>
      <c r="I934" s="37"/>
      <c r="J934" s="129">
        <f t="shared" si="57"/>
        <v>774.2</v>
      </c>
      <c r="K934" s="39" t="s">
        <v>47</v>
      </c>
    </row>
    <row r="935" ht="41" customHeight="1" spans="1:11">
      <c r="A935" s="111">
        <v>60</v>
      </c>
      <c r="B935" s="112">
        <v>13308001470000</v>
      </c>
      <c r="C935" s="67" t="s">
        <v>2113</v>
      </c>
      <c r="D935" s="67" t="s">
        <v>2114</v>
      </c>
      <c r="E935" s="67" t="s">
        <v>2110</v>
      </c>
      <c r="F935" s="37"/>
      <c r="G935" s="37"/>
      <c r="H935" s="67" t="s">
        <v>35</v>
      </c>
      <c r="I935" s="67" t="s">
        <v>2111</v>
      </c>
      <c r="J935" s="129">
        <v>3767</v>
      </c>
      <c r="K935" s="39" t="s">
        <v>40</v>
      </c>
    </row>
    <row r="936" ht="41" customHeight="1" spans="1:11">
      <c r="A936" s="115"/>
      <c r="B936" s="112">
        <v>13308001470001</v>
      </c>
      <c r="C936" s="67" t="s">
        <v>2115</v>
      </c>
      <c r="D936" s="37"/>
      <c r="E936" s="37"/>
      <c r="F936" s="37"/>
      <c r="G936" s="37"/>
      <c r="H936" s="67" t="s">
        <v>35</v>
      </c>
      <c r="I936" s="37"/>
      <c r="J936" s="129">
        <f t="shared" si="57"/>
        <v>753.4</v>
      </c>
      <c r="K936" s="39" t="s">
        <v>40</v>
      </c>
    </row>
    <row r="937" ht="41" customHeight="1" spans="1:11">
      <c r="A937" s="111">
        <v>61</v>
      </c>
      <c r="B937" s="112">
        <v>13308001480000</v>
      </c>
      <c r="C937" s="67" t="s">
        <v>2116</v>
      </c>
      <c r="D937" s="67" t="s">
        <v>2117</v>
      </c>
      <c r="E937" s="67" t="s">
        <v>2110</v>
      </c>
      <c r="F937" s="37"/>
      <c r="G937" s="37"/>
      <c r="H937" s="67" t="s">
        <v>35</v>
      </c>
      <c r="I937" s="67" t="s">
        <v>2111</v>
      </c>
      <c r="J937" s="129">
        <v>2465</v>
      </c>
      <c r="K937" s="39" t="s">
        <v>47</v>
      </c>
    </row>
    <row r="938" ht="41" customHeight="1" spans="1:11">
      <c r="A938" s="115"/>
      <c r="B938" s="112">
        <v>13308001480001</v>
      </c>
      <c r="C938" s="67" t="s">
        <v>2118</v>
      </c>
      <c r="D938" s="37"/>
      <c r="E938" s="37"/>
      <c r="F938" s="37"/>
      <c r="G938" s="37"/>
      <c r="H938" s="67" t="s">
        <v>35</v>
      </c>
      <c r="I938" s="37"/>
      <c r="J938" s="129">
        <f t="shared" ref="J938:J942" si="58">+J937*0.2</f>
        <v>493</v>
      </c>
      <c r="K938" s="39" t="s">
        <v>47</v>
      </c>
    </row>
    <row r="939" ht="41" customHeight="1" spans="1:11">
      <c r="A939" s="111">
        <v>62</v>
      </c>
      <c r="B939" s="112">
        <v>13308001490000</v>
      </c>
      <c r="C939" s="67" t="s">
        <v>2119</v>
      </c>
      <c r="D939" s="67" t="s">
        <v>2120</v>
      </c>
      <c r="E939" s="67" t="s">
        <v>2110</v>
      </c>
      <c r="F939" s="37"/>
      <c r="G939" s="37"/>
      <c r="H939" s="67" t="s">
        <v>35</v>
      </c>
      <c r="I939" s="67" t="s">
        <v>2111</v>
      </c>
      <c r="J939" s="129">
        <v>2719</v>
      </c>
      <c r="K939" s="39" t="s">
        <v>19</v>
      </c>
    </row>
    <row r="940" ht="41" customHeight="1" spans="1:11">
      <c r="A940" s="115"/>
      <c r="B940" s="112">
        <v>13308001490001</v>
      </c>
      <c r="C940" s="67" t="s">
        <v>2121</v>
      </c>
      <c r="D940" s="37"/>
      <c r="E940" s="37"/>
      <c r="F940" s="37"/>
      <c r="G940" s="37"/>
      <c r="H940" s="67" t="s">
        <v>35</v>
      </c>
      <c r="I940" s="37"/>
      <c r="J940" s="129">
        <f t="shared" si="58"/>
        <v>543.8</v>
      </c>
      <c r="K940" s="39" t="s">
        <v>19</v>
      </c>
    </row>
    <row r="941" ht="41" customHeight="1" spans="1:11">
      <c r="A941" s="111">
        <v>63</v>
      </c>
      <c r="B941" s="112">
        <v>13308001500000</v>
      </c>
      <c r="C941" s="67" t="s">
        <v>2122</v>
      </c>
      <c r="D941" s="67" t="s">
        <v>2123</v>
      </c>
      <c r="E941" s="67" t="s">
        <v>2110</v>
      </c>
      <c r="F941" s="37"/>
      <c r="G941" s="37"/>
      <c r="H941" s="67" t="s">
        <v>35</v>
      </c>
      <c r="I941" s="67" t="s">
        <v>2111</v>
      </c>
      <c r="J941" s="129">
        <v>3626</v>
      </c>
      <c r="K941" s="39" t="s">
        <v>40</v>
      </c>
    </row>
    <row r="942" ht="41" customHeight="1" spans="1:11">
      <c r="A942" s="115"/>
      <c r="B942" s="112">
        <v>13308001500001</v>
      </c>
      <c r="C942" s="67" t="s">
        <v>2124</v>
      </c>
      <c r="D942" s="37"/>
      <c r="E942" s="37"/>
      <c r="F942" s="37"/>
      <c r="G942" s="37"/>
      <c r="H942" s="67" t="s">
        <v>35</v>
      </c>
      <c r="I942" s="37"/>
      <c r="J942" s="129">
        <f t="shared" si="58"/>
        <v>725.2</v>
      </c>
      <c r="K942" s="39" t="s">
        <v>40</v>
      </c>
    </row>
    <row r="943" ht="41" customHeight="1" spans="1:11">
      <c r="A943" s="111">
        <v>64</v>
      </c>
      <c r="B943" s="112">
        <v>13308001510000</v>
      </c>
      <c r="C943" s="67" t="s">
        <v>2125</v>
      </c>
      <c r="D943" s="67" t="s">
        <v>2126</v>
      </c>
      <c r="E943" s="67" t="s">
        <v>2110</v>
      </c>
      <c r="F943" s="37"/>
      <c r="G943" s="37"/>
      <c r="H943" s="67" t="s">
        <v>35</v>
      </c>
      <c r="I943" s="67" t="s">
        <v>2111</v>
      </c>
      <c r="J943" s="129">
        <v>2997</v>
      </c>
      <c r="K943" s="39" t="s">
        <v>19</v>
      </c>
    </row>
    <row r="944" ht="41" customHeight="1" spans="1:11">
      <c r="A944" s="115"/>
      <c r="B944" s="112">
        <v>13308001510001</v>
      </c>
      <c r="C944" s="67" t="s">
        <v>2127</v>
      </c>
      <c r="D944" s="37"/>
      <c r="E944" s="37"/>
      <c r="F944" s="37"/>
      <c r="G944" s="37"/>
      <c r="H944" s="67" t="s">
        <v>35</v>
      </c>
      <c r="I944" s="37"/>
      <c r="J944" s="129">
        <f t="shared" ref="J944:J948" si="59">+J943*0.2</f>
        <v>599.4</v>
      </c>
      <c r="K944" s="39" t="s">
        <v>19</v>
      </c>
    </row>
    <row r="945" ht="41" customHeight="1" spans="1:11">
      <c r="A945" s="111">
        <v>65</v>
      </c>
      <c r="B945" s="112">
        <v>13308001520000</v>
      </c>
      <c r="C945" s="67" t="s">
        <v>2128</v>
      </c>
      <c r="D945" s="67" t="s">
        <v>2129</v>
      </c>
      <c r="E945" s="67" t="s">
        <v>2110</v>
      </c>
      <c r="F945" s="37"/>
      <c r="G945" s="37"/>
      <c r="H945" s="67" t="s">
        <v>35</v>
      </c>
      <c r="I945" s="67" t="s">
        <v>2111</v>
      </c>
      <c r="J945" s="129">
        <v>2462</v>
      </c>
      <c r="K945" s="39" t="s">
        <v>47</v>
      </c>
    </row>
    <row r="946" ht="41" customHeight="1" spans="1:11">
      <c r="A946" s="115"/>
      <c r="B946" s="112">
        <v>13308001520001</v>
      </c>
      <c r="C946" s="67" t="s">
        <v>2130</v>
      </c>
      <c r="D946" s="37"/>
      <c r="E946" s="37"/>
      <c r="F946" s="37"/>
      <c r="G946" s="37"/>
      <c r="H946" s="67" t="s">
        <v>35</v>
      </c>
      <c r="I946" s="37"/>
      <c r="J946" s="129">
        <f t="shared" si="59"/>
        <v>492.4</v>
      </c>
      <c r="K946" s="39" t="s">
        <v>47</v>
      </c>
    </row>
    <row r="947" ht="41" customHeight="1" spans="1:11">
      <c r="A947" s="111">
        <v>66</v>
      </c>
      <c r="B947" s="112">
        <v>13308001530000</v>
      </c>
      <c r="C947" s="67" t="s">
        <v>2131</v>
      </c>
      <c r="D947" s="67" t="s">
        <v>2132</v>
      </c>
      <c r="E947" s="67" t="s">
        <v>2110</v>
      </c>
      <c r="F947" s="37"/>
      <c r="G947" s="37"/>
      <c r="H947" s="67" t="s">
        <v>35</v>
      </c>
      <c r="I947" s="67" t="s">
        <v>2111</v>
      </c>
      <c r="J947" s="129">
        <v>2708</v>
      </c>
      <c r="K947" s="39" t="s">
        <v>40</v>
      </c>
    </row>
    <row r="948" ht="41" customHeight="1" spans="1:11">
      <c r="A948" s="115"/>
      <c r="B948" s="112">
        <v>13308001530001</v>
      </c>
      <c r="C948" s="67" t="s">
        <v>2133</v>
      </c>
      <c r="D948" s="37"/>
      <c r="E948" s="37"/>
      <c r="F948" s="37"/>
      <c r="G948" s="37"/>
      <c r="H948" s="67" t="s">
        <v>35</v>
      </c>
      <c r="I948" s="37"/>
      <c r="J948" s="129">
        <f t="shared" si="59"/>
        <v>541.6</v>
      </c>
      <c r="K948" s="39" t="s">
        <v>40</v>
      </c>
    </row>
    <row r="949" ht="41" customHeight="1" spans="1:11">
      <c r="A949" s="111">
        <v>67</v>
      </c>
      <c r="B949" s="112">
        <v>13308001540000</v>
      </c>
      <c r="C949" s="67" t="s">
        <v>2134</v>
      </c>
      <c r="D949" s="67" t="s">
        <v>2135</v>
      </c>
      <c r="E949" s="67" t="s">
        <v>2136</v>
      </c>
      <c r="F949" s="37"/>
      <c r="G949" s="37"/>
      <c r="H949" s="67" t="s">
        <v>35</v>
      </c>
      <c r="I949" s="67" t="s">
        <v>2111</v>
      </c>
      <c r="J949" s="129">
        <v>3084</v>
      </c>
      <c r="K949" s="39" t="s">
        <v>19</v>
      </c>
    </row>
    <row r="950" ht="41" customHeight="1" spans="1:11">
      <c r="A950" s="115"/>
      <c r="B950" s="112">
        <v>13308001540001</v>
      </c>
      <c r="C950" s="67" t="s">
        <v>2137</v>
      </c>
      <c r="D950" s="37"/>
      <c r="E950" s="37"/>
      <c r="F950" s="37"/>
      <c r="G950" s="37"/>
      <c r="H950" s="67" t="s">
        <v>35</v>
      </c>
      <c r="I950" s="37"/>
      <c r="J950" s="129">
        <f t="shared" ref="J950:J954" si="60">+J949*0.2</f>
        <v>616.8</v>
      </c>
      <c r="K950" s="39" t="s">
        <v>19</v>
      </c>
    </row>
    <row r="951" ht="41" customHeight="1" spans="1:11">
      <c r="A951" s="111">
        <v>68</v>
      </c>
      <c r="B951" s="112">
        <v>13308001550000</v>
      </c>
      <c r="C951" s="67" t="s">
        <v>2138</v>
      </c>
      <c r="D951" s="67" t="s">
        <v>2139</v>
      </c>
      <c r="E951" s="67" t="s">
        <v>2136</v>
      </c>
      <c r="F951" s="37"/>
      <c r="G951" s="37"/>
      <c r="H951" s="67" t="s">
        <v>35</v>
      </c>
      <c r="I951" s="67" t="s">
        <v>2111</v>
      </c>
      <c r="J951" s="129">
        <v>2782</v>
      </c>
      <c r="K951" s="39" t="s">
        <v>40</v>
      </c>
    </row>
    <row r="952" ht="41" customHeight="1" spans="1:11">
      <c r="A952" s="115"/>
      <c r="B952" s="112">
        <v>13308001550001</v>
      </c>
      <c r="C952" s="67" t="s">
        <v>2140</v>
      </c>
      <c r="D952" s="37"/>
      <c r="E952" s="37"/>
      <c r="F952" s="37"/>
      <c r="G952" s="37"/>
      <c r="H952" s="67" t="s">
        <v>35</v>
      </c>
      <c r="I952" s="37"/>
      <c r="J952" s="129">
        <f t="shared" si="60"/>
        <v>556.4</v>
      </c>
      <c r="K952" s="39" t="s">
        <v>40</v>
      </c>
    </row>
    <row r="953" ht="41" customHeight="1" spans="1:11">
      <c r="A953" s="111">
        <v>69</v>
      </c>
      <c r="B953" s="112">
        <v>13308001560000</v>
      </c>
      <c r="C953" s="67" t="s">
        <v>2141</v>
      </c>
      <c r="D953" s="67" t="s">
        <v>2142</v>
      </c>
      <c r="E953" s="67" t="s">
        <v>2136</v>
      </c>
      <c r="F953" s="37"/>
      <c r="G953" s="37"/>
      <c r="H953" s="67" t="s">
        <v>35</v>
      </c>
      <c r="I953" s="67" t="s">
        <v>2111</v>
      </c>
      <c r="J953" s="129">
        <v>3084</v>
      </c>
      <c r="K953" s="39" t="s">
        <v>40</v>
      </c>
    </row>
    <row r="954" ht="41" customHeight="1" spans="1:11">
      <c r="A954" s="115"/>
      <c r="B954" s="112">
        <v>13308001560001</v>
      </c>
      <c r="C954" s="67" t="s">
        <v>2143</v>
      </c>
      <c r="D954" s="37"/>
      <c r="E954" s="37"/>
      <c r="F954" s="37"/>
      <c r="G954" s="37"/>
      <c r="H954" s="67" t="s">
        <v>35</v>
      </c>
      <c r="I954" s="37"/>
      <c r="J954" s="129">
        <f t="shared" si="60"/>
        <v>616.8</v>
      </c>
      <c r="K954" s="39" t="s">
        <v>40</v>
      </c>
    </row>
    <row r="955" ht="41" customHeight="1" spans="1:11">
      <c r="A955" s="111">
        <v>70</v>
      </c>
      <c r="B955" s="112">
        <v>13308001570000</v>
      </c>
      <c r="C955" s="67" t="s">
        <v>2144</v>
      </c>
      <c r="D955" s="67" t="s">
        <v>2145</v>
      </c>
      <c r="E955" s="67" t="s">
        <v>2136</v>
      </c>
      <c r="F955" s="37"/>
      <c r="G955" s="37"/>
      <c r="H955" s="67" t="s">
        <v>35</v>
      </c>
      <c r="I955" s="67" t="s">
        <v>2111</v>
      </c>
      <c r="J955" s="129">
        <v>3510</v>
      </c>
      <c r="K955" s="39" t="s">
        <v>19</v>
      </c>
    </row>
    <row r="956" ht="41" customHeight="1" spans="1:11">
      <c r="A956" s="115"/>
      <c r="B956" s="112">
        <v>13308001570001</v>
      </c>
      <c r="C956" s="67" t="s">
        <v>2146</v>
      </c>
      <c r="D956" s="37"/>
      <c r="E956" s="37"/>
      <c r="F956" s="37"/>
      <c r="G956" s="37"/>
      <c r="H956" s="67" t="s">
        <v>35</v>
      </c>
      <c r="I956" s="37"/>
      <c r="J956" s="129">
        <f t="shared" ref="J956:J960" si="61">+J955*0.2</f>
        <v>702</v>
      </c>
      <c r="K956" s="39" t="s">
        <v>19</v>
      </c>
    </row>
    <row r="957" ht="41" customHeight="1" spans="1:11">
      <c r="A957" s="111">
        <v>71</v>
      </c>
      <c r="B957" s="112">
        <v>13308001580000</v>
      </c>
      <c r="C957" s="67" t="s">
        <v>2147</v>
      </c>
      <c r="D957" s="67" t="s">
        <v>2148</v>
      </c>
      <c r="E957" s="67" t="s">
        <v>2136</v>
      </c>
      <c r="F957" s="37"/>
      <c r="G957" s="37"/>
      <c r="H957" s="67" t="s">
        <v>35</v>
      </c>
      <c r="I957" s="67" t="s">
        <v>2111</v>
      </c>
      <c r="J957" s="129">
        <v>3084</v>
      </c>
      <c r="K957" s="39" t="s">
        <v>19</v>
      </c>
    </row>
    <row r="958" ht="41" customHeight="1" spans="1:11">
      <c r="A958" s="115"/>
      <c r="B958" s="112">
        <v>13308001580001</v>
      </c>
      <c r="C958" s="67" t="s">
        <v>2149</v>
      </c>
      <c r="D958" s="37"/>
      <c r="E958" s="37"/>
      <c r="F958" s="37"/>
      <c r="G958" s="37"/>
      <c r="H958" s="67" t="s">
        <v>35</v>
      </c>
      <c r="I958" s="37"/>
      <c r="J958" s="129">
        <f t="shared" si="61"/>
        <v>616.8</v>
      </c>
      <c r="K958" s="39" t="s">
        <v>19</v>
      </c>
    </row>
    <row r="959" ht="41" customHeight="1" spans="1:11">
      <c r="A959" s="111">
        <v>72</v>
      </c>
      <c r="B959" s="112">
        <v>13308001590000</v>
      </c>
      <c r="C959" s="67" t="s">
        <v>2150</v>
      </c>
      <c r="D959" s="67" t="s">
        <v>2151</v>
      </c>
      <c r="E959" s="67" t="s">
        <v>2136</v>
      </c>
      <c r="F959" s="37"/>
      <c r="G959" s="37"/>
      <c r="H959" s="67" t="s">
        <v>35</v>
      </c>
      <c r="I959" s="67" t="s">
        <v>2111</v>
      </c>
      <c r="J959" s="129">
        <v>3871</v>
      </c>
      <c r="K959" s="39" t="s">
        <v>47</v>
      </c>
    </row>
    <row r="960" ht="41" customHeight="1" spans="1:11">
      <c r="A960" s="115"/>
      <c r="B960" s="112">
        <v>13308001590001</v>
      </c>
      <c r="C960" s="67" t="s">
        <v>2152</v>
      </c>
      <c r="D960" s="37"/>
      <c r="E960" s="37"/>
      <c r="F960" s="37"/>
      <c r="G960" s="37"/>
      <c r="H960" s="67" t="s">
        <v>35</v>
      </c>
      <c r="I960" s="37"/>
      <c r="J960" s="129">
        <f t="shared" si="61"/>
        <v>774.2</v>
      </c>
      <c r="K960" s="39" t="s">
        <v>47</v>
      </c>
    </row>
    <row r="961" ht="41" customHeight="1" spans="1:11">
      <c r="A961" s="111">
        <v>73</v>
      </c>
      <c r="B961" s="112">
        <v>13308001600000</v>
      </c>
      <c r="C961" s="67" t="s">
        <v>2153</v>
      </c>
      <c r="D961" s="67" t="s">
        <v>2154</v>
      </c>
      <c r="E961" s="67" t="s">
        <v>2136</v>
      </c>
      <c r="F961" s="37"/>
      <c r="G961" s="37"/>
      <c r="H961" s="67" t="s">
        <v>35</v>
      </c>
      <c r="I961" s="67" t="s">
        <v>2111</v>
      </c>
      <c r="J961" s="129">
        <v>3035</v>
      </c>
      <c r="K961" s="39" t="s">
        <v>40</v>
      </c>
    </row>
    <row r="962" ht="41" customHeight="1" spans="1:11">
      <c r="A962" s="115"/>
      <c r="B962" s="112">
        <v>13308001600001</v>
      </c>
      <c r="C962" s="67" t="s">
        <v>2155</v>
      </c>
      <c r="D962" s="37"/>
      <c r="E962" s="37"/>
      <c r="F962" s="37"/>
      <c r="G962" s="37"/>
      <c r="H962" s="67" t="s">
        <v>35</v>
      </c>
      <c r="I962" s="37"/>
      <c r="J962" s="129">
        <f t="shared" ref="J962:J966" si="62">+J961*0.2</f>
        <v>607</v>
      </c>
      <c r="K962" s="39" t="s">
        <v>40</v>
      </c>
    </row>
    <row r="963" ht="41" customHeight="1" spans="1:11">
      <c r="A963" s="111">
        <v>74</v>
      </c>
      <c r="B963" s="112">
        <v>13308001610000</v>
      </c>
      <c r="C963" s="67" t="s">
        <v>2156</v>
      </c>
      <c r="D963" s="67" t="s">
        <v>2157</v>
      </c>
      <c r="E963" s="67" t="s">
        <v>2136</v>
      </c>
      <c r="F963" s="37"/>
      <c r="G963" s="37"/>
      <c r="H963" s="67" t="s">
        <v>35</v>
      </c>
      <c r="I963" s="67" t="s">
        <v>2111</v>
      </c>
      <c r="J963" s="129">
        <v>3120</v>
      </c>
      <c r="K963" s="39" t="s">
        <v>40</v>
      </c>
    </row>
    <row r="964" ht="41" customHeight="1" spans="1:11">
      <c r="A964" s="115"/>
      <c r="B964" s="112">
        <v>13308001610001</v>
      </c>
      <c r="C964" s="67" t="s">
        <v>2158</v>
      </c>
      <c r="D964" s="37"/>
      <c r="E964" s="37"/>
      <c r="F964" s="37"/>
      <c r="G964" s="37"/>
      <c r="H964" s="67" t="s">
        <v>35</v>
      </c>
      <c r="I964" s="37"/>
      <c r="J964" s="129">
        <f t="shared" si="62"/>
        <v>624</v>
      </c>
      <c r="K964" s="39" t="s">
        <v>40</v>
      </c>
    </row>
    <row r="965" ht="41" customHeight="1" spans="1:11">
      <c r="A965" s="111">
        <v>75</v>
      </c>
      <c r="B965" s="112">
        <v>13308001620000</v>
      </c>
      <c r="C965" s="67" t="s">
        <v>2159</v>
      </c>
      <c r="D965" s="67" t="s">
        <v>2160</v>
      </c>
      <c r="E965" s="67" t="s">
        <v>2062</v>
      </c>
      <c r="F965" s="37"/>
      <c r="G965" s="37"/>
      <c r="H965" s="67" t="s">
        <v>35</v>
      </c>
      <c r="I965" s="67" t="s">
        <v>2161</v>
      </c>
      <c r="J965" s="129">
        <v>1654</v>
      </c>
      <c r="K965" s="39" t="s">
        <v>40</v>
      </c>
    </row>
    <row r="966" ht="41" customHeight="1" spans="1:11">
      <c r="A966" s="115"/>
      <c r="B966" s="112">
        <v>13308001620001</v>
      </c>
      <c r="C966" s="67" t="s">
        <v>2162</v>
      </c>
      <c r="D966" s="37"/>
      <c r="E966" s="37"/>
      <c r="F966" s="37"/>
      <c r="G966" s="37"/>
      <c r="H966" s="67" t="s">
        <v>35</v>
      </c>
      <c r="I966" s="37"/>
      <c r="J966" s="129">
        <f t="shared" si="62"/>
        <v>330.8</v>
      </c>
      <c r="K966" s="39" t="s">
        <v>40</v>
      </c>
    </row>
    <row r="967" ht="41" customHeight="1" spans="1:11">
      <c r="A967" s="111">
        <v>76</v>
      </c>
      <c r="B967" s="112">
        <v>13308001630000</v>
      </c>
      <c r="C967" s="67" t="s">
        <v>2163</v>
      </c>
      <c r="D967" s="67" t="s">
        <v>2164</v>
      </c>
      <c r="E967" s="67" t="s">
        <v>2062</v>
      </c>
      <c r="F967" s="37"/>
      <c r="G967" s="37"/>
      <c r="H967" s="67" t="s">
        <v>35</v>
      </c>
      <c r="I967" s="67" t="s">
        <v>2165</v>
      </c>
      <c r="J967" s="129">
        <v>2033</v>
      </c>
      <c r="K967" s="39" t="s">
        <v>40</v>
      </c>
    </row>
    <row r="968" ht="41" customHeight="1" spans="1:11">
      <c r="A968" s="115"/>
      <c r="B968" s="112">
        <v>13308001630001</v>
      </c>
      <c r="C968" s="67" t="s">
        <v>2166</v>
      </c>
      <c r="D968" s="37"/>
      <c r="E968" s="37"/>
      <c r="F968" s="37"/>
      <c r="G968" s="37"/>
      <c r="H968" s="67" t="s">
        <v>35</v>
      </c>
      <c r="I968" s="37"/>
      <c r="J968" s="129">
        <f t="shared" ref="J968:J972" si="63">+J967*0.2</f>
        <v>406.6</v>
      </c>
      <c r="K968" s="39" t="s">
        <v>40</v>
      </c>
    </row>
    <row r="969" ht="41" customHeight="1" spans="1:11">
      <c r="A969" s="111">
        <v>77</v>
      </c>
      <c r="B969" s="112">
        <v>13308001640000</v>
      </c>
      <c r="C969" s="67" t="s">
        <v>2167</v>
      </c>
      <c r="D969" s="67" t="s">
        <v>2168</v>
      </c>
      <c r="E969" s="67" t="s">
        <v>2169</v>
      </c>
      <c r="F969" s="37"/>
      <c r="G969" s="37"/>
      <c r="H969" s="67" t="s">
        <v>35</v>
      </c>
      <c r="I969" s="37"/>
      <c r="J969" s="129">
        <v>3565</v>
      </c>
      <c r="K969" s="39" t="s">
        <v>47</v>
      </c>
    </row>
    <row r="970" ht="41" customHeight="1" spans="1:11">
      <c r="A970" s="115"/>
      <c r="B970" s="112">
        <v>13308001640001</v>
      </c>
      <c r="C970" s="67" t="s">
        <v>2170</v>
      </c>
      <c r="D970" s="37"/>
      <c r="E970" s="37"/>
      <c r="F970" s="37"/>
      <c r="G970" s="37"/>
      <c r="H970" s="67" t="s">
        <v>35</v>
      </c>
      <c r="I970" s="37"/>
      <c r="J970" s="129">
        <f t="shared" si="63"/>
        <v>713</v>
      </c>
      <c r="K970" s="39" t="s">
        <v>47</v>
      </c>
    </row>
    <row r="971" ht="41" customHeight="1" spans="1:11">
      <c r="A971" s="111">
        <v>78</v>
      </c>
      <c r="B971" s="112">
        <v>13308001650000</v>
      </c>
      <c r="C971" s="67" t="s">
        <v>2171</v>
      </c>
      <c r="D971" s="67" t="s">
        <v>2172</v>
      </c>
      <c r="E971" s="67" t="s">
        <v>2173</v>
      </c>
      <c r="F971" s="37"/>
      <c r="G971" s="37"/>
      <c r="H971" s="67" t="s">
        <v>35</v>
      </c>
      <c r="I971" s="37"/>
      <c r="J971" s="129">
        <v>3825</v>
      </c>
      <c r="K971" s="39" t="s">
        <v>19</v>
      </c>
    </row>
    <row r="972" ht="41" customHeight="1" spans="1:11">
      <c r="A972" s="115"/>
      <c r="B972" s="112">
        <v>13308001650001</v>
      </c>
      <c r="C972" s="67" t="s">
        <v>2174</v>
      </c>
      <c r="D972" s="37"/>
      <c r="E972" s="37"/>
      <c r="F972" s="37"/>
      <c r="G972" s="37"/>
      <c r="H972" s="67" t="s">
        <v>35</v>
      </c>
      <c r="I972" s="37"/>
      <c r="J972" s="129">
        <f t="shared" si="63"/>
        <v>765</v>
      </c>
      <c r="K972" s="39" t="s">
        <v>19</v>
      </c>
    </row>
    <row r="973" ht="41" customHeight="1" spans="1:11">
      <c r="A973" s="111">
        <v>79</v>
      </c>
      <c r="B973" s="112">
        <v>13308001660000</v>
      </c>
      <c r="C973" s="67" t="s">
        <v>2175</v>
      </c>
      <c r="D973" s="67" t="s">
        <v>2176</v>
      </c>
      <c r="E973" s="67" t="s">
        <v>2062</v>
      </c>
      <c r="F973" s="37"/>
      <c r="G973" s="37"/>
      <c r="H973" s="67" t="s">
        <v>35</v>
      </c>
      <c r="I973" s="37"/>
      <c r="J973" s="129">
        <v>1840</v>
      </c>
      <c r="K973" s="39" t="s">
        <v>40</v>
      </c>
    </row>
    <row r="974" ht="41" customHeight="1" spans="1:11">
      <c r="A974" s="115"/>
      <c r="B974" s="112">
        <v>13308001660001</v>
      </c>
      <c r="C974" s="67" t="s">
        <v>2177</v>
      </c>
      <c r="D974" s="37"/>
      <c r="E974" s="37"/>
      <c r="F974" s="37"/>
      <c r="G974" s="37"/>
      <c r="H974" s="67" t="s">
        <v>35</v>
      </c>
      <c r="I974" s="37"/>
      <c r="J974" s="129">
        <f t="shared" ref="J974:J978" si="64">+J973*0.2</f>
        <v>368</v>
      </c>
      <c r="K974" s="39" t="s">
        <v>40</v>
      </c>
    </row>
    <row r="975" ht="41" customHeight="1" spans="1:11">
      <c r="A975" s="111">
        <v>80</v>
      </c>
      <c r="B975" s="112">
        <v>13308001670000</v>
      </c>
      <c r="C975" s="67" t="s">
        <v>2178</v>
      </c>
      <c r="D975" s="67" t="s">
        <v>2179</v>
      </c>
      <c r="E975" s="67" t="s">
        <v>2180</v>
      </c>
      <c r="F975" s="37"/>
      <c r="G975" s="37"/>
      <c r="H975" s="67" t="s">
        <v>35</v>
      </c>
      <c r="I975" s="37"/>
      <c r="J975" s="129">
        <v>3450</v>
      </c>
      <c r="K975" s="39" t="s">
        <v>47</v>
      </c>
    </row>
    <row r="976" ht="41" customHeight="1" spans="1:11">
      <c r="A976" s="115"/>
      <c r="B976" s="112">
        <v>13308001670001</v>
      </c>
      <c r="C976" s="67" t="s">
        <v>2181</v>
      </c>
      <c r="D976" s="37"/>
      <c r="E976" s="37"/>
      <c r="F976" s="37"/>
      <c r="G976" s="37"/>
      <c r="H976" s="67" t="s">
        <v>35</v>
      </c>
      <c r="I976" s="37"/>
      <c r="J976" s="129">
        <f t="shared" si="64"/>
        <v>690</v>
      </c>
      <c r="K976" s="39" t="s">
        <v>47</v>
      </c>
    </row>
    <row r="977" ht="41" customHeight="1" spans="1:11">
      <c r="A977" s="111">
        <v>81</v>
      </c>
      <c r="B977" s="112">
        <v>13308001680000</v>
      </c>
      <c r="C977" s="67" t="s">
        <v>2182</v>
      </c>
      <c r="D977" s="67" t="s">
        <v>2183</v>
      </c>
      <c r="E977" s="67" t="s">
        <v>2180</v>
      </c>
      <c r="F977" s="37"/>
      <c r="G977" s="37"/>
      <c r="H977" s="67" t="s">
        <v>35</v>
      </c>
      <c r="I977" s="67" t="s">
        <v>2184</v>
      </c>
      <c r="J977" s="129">
        <v>3638</v>
      </c>
      <c r="K977" s="39" t="s">
        <v>47</v>
      </c>
    </row>
    <row r="978" ht="41" customHeight="1" spans="1:11">
      <c r="A978" s="115"/>
      <c r="B978" s="112">
        <v>13308001680001</v>
      </c>
      <c r="C978" s="67" t="s">
        <v>2185</v>
      </c>
      <c r="D978" s="37"/>
      <c r="E978" s="37"/>
      <c r="F978" s="37"/>
      <c r="G978" s="37"/>
      <c r="H978" s="67" t="s">
        <v>35</v>
      </c>
      <c r="I978" s="37"/>
      <c r="J978" s="129">
        <f t="shared" si="64"/>
        <v>727.6</v>
      </c>
      <c r="K978" s="39" t="s">
        <v>47</v>
      </c>
    </row>
    <row r="979" ht="41" customHeight="1" spans="1:11">
      <c r="A979" s="111">
        <v>82</v>
      </c>
      <c r="B979" s="112">
        <v>13308001690000</v>
      </c>
      <c r="C979" s="67" t="s">
        <v>2186</v>
      </c>
      <c r="D979" s="67" t="s">
        <v>2187</v>
      </c>
      <c r="E979" s="67" t="s">
        <v>2180</v>
      </c>
      <c r="F979" s="37"/>
      <c r="G979" s="37"/>
      <c r="H979" s="67" t="s">
        <v>35</v>
      </c>
      <c r="I979" s="37"/>
      <c r="J979" s="129">
        <v>3018</v>
      </c>
      <c r="K979" s="39" t="s">
        <v>47</v>
      </c>
    </row>
    <row r="980" ht="41" customHeight="1" spans="1:11">
      <c r="A980" s="115"/>
      <c r="B980" s="112">
        <v>13308001690001</v>
      </c>
      <c r="C980" s="67" t="s">
        <v>2188</v>
      </c>
      <c r="D980" s="37"/>
      <c r="E980" s="37"/>
      <c r="F980" s="37"/>
      <c r="G980" s="37"/>
      <c r="H980" s="67" t="s">
        <v>35</v>
      </c>
      <c r="I980" s="37"/>
      <c r="J980" s="129">
        <f t="shared" ref="J980:J984" si="65">+J979*0.2</f>
        <v>603.6</v>
      </c>
      <c r="K980" s="39" t="s">
        <v>47</v>
      </c>
    </row>
    <row r="981" ht="41" customHeight="1" spans="1:11">
      <c r="A981" s="111">
        <v>83</v>
      </c>
      <c r="B981" s="112">
        <v>13308001700000</v>
      </c>
      <c r="C981" s="67" t="s">
        <v>2189</v>
      </c>
      <c r="D981" s="67" t="s">
        <v>2190</v>
      </c>
      <c r="E981" s="67" t="s">
        <v>2191</v>
      </c>
      <c r="F981" s="37"/>
      <c r="G981" s="37"/>
      <c r="H981" s="67" t="s">
        <v>35</v>
      </c>
      <c r="I981" s="37"/>
      <c r="J981" s="129">
        <v>1563</v>
      </c>
      <c r="K981" s="39" t="s">
        <v>40</v>
      </c>
    </row>
    <row r="982" ht="41" customHeight="1" spans="1:11">
      <c r="A982" s="115"/>
      <c r="B982" s="112">
        <v>13308001700001</v>
      </c>
      <c r="C982" s="67" t="s">
        <v>2192</v>
      </c>
      <c r="D982" s="37"/>
      <c r="E982" s="37"/>
      <c r="F982" s="37"/>
      <c r="G982" s="37"/>
      <c r="H982" s="67" t="s">
        <v>35</v>
      </c>
      <c r="I982" s="37"/>
      <c r="J982" s="129">
        <f t="shared" si="65"/>
        <v>312.6</v>
      </c>
      <c r="K982" s="39" t="s">
        <v>40</v>
      </c>
    </row>
    <row r="983" ht="41" customHeight="1" spans="1:11">
      <c r="A983" s="111">
        <v>84</v>
      </c>
      <c r="B983" s="112">
        <v>13308001710000</v>
      </c>
      <c r="C983" s="67" t="s">
        <v>2193</v>
      </c>
      <c r="D983" s="67" t="s">
        <v>2194</v>
      </c>
      <c r="E983" s="67" t="s">
        <v>2195</v>
      </c>
      <c r="F983" s="37"/>
      <c r="G983" s="37"/>
      <c r="H983" s="67" t="s">
        <v>35</v>
      </c>
      <c r="I983" s="37"/>
      <c r="J983" s="129">
        <v>2177</v>
      </c>
      <c r="K983" s="39" t="s">
        <v>19</v>
      </c>
    </row>
    <row r="984" ht="41" customHeight="1" spans="1:11">
      <c r="A984" s="115"/>
      <c r="B984" s="112">
        <v>13308001710001</v>
      </c>
      <c r="C984" s="67" t="s">
        <v>2196</v>
      </c>
      <c r="D984" s="37"/>
      <c r="E984" s="37"/>
      <c r="F984" s="37"/>
      <c r="G984" s="37"/>
      <c r="H984" s="67" t="s">
        <v>35</v>
      </c>
      <c r="I984" s="37"/>
      <c r="J984" s="129">
        <f t="shared" si="65"/>
        <v>435.4</v>
      </c>
      <c r="K984" s="39" t="s">
        <v>19</v>
      </c>
    </row>
    <row r="985" ht="41" customHeight="1" spans="1:11">
      <c r="A985" s="111">
        <v>85</v>
      </c>
      <c r="B985" s="112">
        <v>13308001720000</v>
      </c>
      <c r="C985" s="67" t="s">
        <v>2197</v>
      </c>
      <c r="D985" s="67" t="s">
        <v>2198</v>
      </c>
      <c r="E985" s="67" t="s">
        <v>2199</v>
      </c>
      <c r="F985" s="37"/>
      <c r="G985" s="37"/>
      <c r="H985" s="67" t="s">
        <v>35</v>
      </c>
      <c r="I985" s="37"/>
      <c r="J985" s="129">
        <v>3084</v>
      </c>
      <c r="K985" s="39" t="s">
        <v>47</v>
      </c>
    </row>
    <row r="986" ht="41" customHeight="1" spans="1:11">
      <c r="A986" s="115"/>
      <c r="B986" s="112">
        <v>13308001720001</v>
      </c>
      <c r="C986" s="67" t="s">
        <v>2200</v>
      </c>
      <c r="D986" s="37"/>
      <c r="E986" s="37"/>
      <c r="F986" s="37"/>
      <c r="G986" s="37"/>
      <c r="H986" s="67" t="s">
        <v>35</v>
      </c>
      <c r="I986" s="37"/>
      <c r="J986" s="129">
        <f t="shared" ref="J986:J990" si="66">+J985*0.2</f>
        <v>616.8</v>
      </c>
      <c r="K986" s="39" t="s">
        <v>47</v>
      </c>
    </row>
    <row r="987" ht="41" customHeight="1" spans="1:11">
      <c r="A987" s="111">
        <v>86</v>
      </c>
      <c r="B987" s="112">
        <v>13308001730000</v>
      </c>
      <c r="C987" s="67" t="s">
        <v>2201</v>
      </c>
      <c r="D987" s="67" t="s">
        <v>2202</v>
      </c>
      <c r="E987" s="67" t="s">
        <v>2199</v>
      </c>
      <c r="F987" s="37"/>
      <c r="G987" s="37"/>
      <c r="H987" s="67" t="s">
        <v>35</v>
      </c>
      <c r="I987" s="37"/>
      <c r="J987" s="129">
        <v>2841</v>
      </c>
      <c r="K987" s="39" t="s">
        <v>40</v>
      </c>
    </row>
    <row r="988" ht="41" customHeight="1" spans="1:11">
      <c r="A988" s="115"/>
      <c r="B988" s="112">
        <v>13308001730001</v>
      </c>
      <c r="C988" s="67" t="s">
        <v>2203</v>
      </c>
      <c r="D988" s="37"/>
      <c r="E988" s="37"/>
      <c r="F988" s="37"/>
      <c r="G988" s="37"/>
      <c r="H988" s="67" t="s">
        <v>35</v>
      </c>
      <c r="I988" s="37"/>
      <c r="J988" s="129">
        <f t="shared" si="66"/>
        <v>568.2</v>
      </c>
      <c r="K988" s="39" t="s">
        <v>40</v>
      </c>
    </row>
    <row r="989" ht="41" customHeight="1" spans="1:11">
      <c r="A989" s="111">
        <v>87</v>
      </c>
      <c r="B989" s="112">
        <v>13308001740000</v>
      </c>
      <c r="C989" s="67" t="s">
        <v>2204</v>
      </c>
      <c r="D989" s="67" t="s">
        <v>2205</v>
      </c>
      <c r="E989" s="67" t="s">
        <v>2199</v>
      </c>
      <c r="F989" s="37"/>
      <c r="G989" s="37"/>
      <c r="H989" s="67" t="s">
        <v>35</v>
      </c>
      <c r="I989" s="37"/>
      <c r="J989" s="129">
        <v>1548</v>
      </c>
      <c r="K989" s="39" t="s">
        <v>19</v>
      </c>
    </row>
    <row r="990" ht="41" customHeight="1" spans="1:11">
      <c r="A990" s="115"/>
      <c r="B990" s="112">
        <v>13308001740001</v>
      </c>
      <c r="C990" s="67" t="s">
        <v>2206</v>
      </c>
      <c r="D990" s="37"/>
      <c r="E990" s="37"/>
      <c r="F990" s="37"/>
      <c r="G990" s="37"/>
      <c r="H990" s="67" t="s">
        <v>35</v>
      </c>
      <c r="I990" s="37"/>
      <c r="J990" s="129">
        <f t="shared" si="66"/>
        <v>309.6</v>
      </c>
      <c r="K990" s="39" t="s">
        <v>19</v>
      </c>
    </row>
    <row r="991" ht="41" customHeight="1" spans="1:11">
      <c r="A991" s="111">
        <v>88</v>
      </c>
      <c r="B991" s="112">
        <v>13308001750000</v>
      </c>
      <c r="C991" s="67" t="s">
        <v>2207</v>
      </c>
      <c r="D991" s="67" t="s">
        <v>2208</v>
      </c>
      <c r="E991" s="67" t="s">
        <v>2209</v>
      </c>
      <c r="F991" s="37"/>
      <c r="G991" s="37"/>
      <c r="H991" s="67" t="s">
        <v>35</v>
      </c>
      <c r="I991" s="37"/>
      <c r="J991" s="129">
        <v>2660</v>
      </c>
      <c r="K991" s="39" t="s">
        <v>40</v>
      </c>
    </row>
    <row r="992" ht="41" customHeight="1" spans="1:11">
      <c r="A992" s="115"/>
      <c r="B992" s="112">
        <v>13308001750001</v>
      </c>
      <c r="C992" s="67" t="s">
        <v>2210</v>
      </c>
      <c r="D992" s="37"/>
      <c r="E992" s="37"/>
      <c r="F992" s="37"/>
      <c r="G992" s="37"/>
      <c r="H992" s="67" t="s">
        <v>35</v>
      </c>
      <c r="I992" s="37"/>
      <c r="J992" s="129">
        <f t="shared" ref="J992:J996" si="67">+J991*0.2</f>
        <v>532</v>
      </c>
      <c r="K992" s="39" t="s">
        <v>40</v>
      </c>
    </row>
    <row r="993" ht="41" customHeight="1" spans="1:11">
      <c r="A993" s="111">
        <v>89</v>
      </c>
      <c r="B993" s="112">
        <v>13308001760000</v>
      </c>
      <c r="C993" s="67" t="s">
        <v>2211</v>
      </c>
      <c r="D993" s="67" t="s">
        <v>2212</v>
      </c>
      <c r="E993" s="67" t="s">
        <v>2213</v>
      </c>
      <c r="F993" s="37"/>
      <c r="G993" s="37"/>
      <c r="H993" s="67" t="s">
        <v>35</v>
      </c>
      <c r="I993" s="37"/>
      <c r="J993" s="129">
        <v>2138</v>
      </c>
      <c r="K993" s="39" t="s">
        <v>19</v>
      </c>
    </row>
    <row r="994" ht="41" customHeight="1" spans="1:11">
      <c r="A994" s="115"/>
      <c r="B994" s="112">
        <v>13308001760001</v>
      </c>
      <c r="C994" s="67" t="s">
        <v>2214</v>
      </c>
      <c r="D994" s="37"/>
      <c r="E994" s="37"/>
      <c r="F994" s="37"/>
      <c r="G994" s="37"/>
      <c r="H994" s="67" t="s">
        <v>35</v>
      </c>
      <c r="I994" s="37"/>
      <c r="J994" s="129">
        <f t="shared" si="67"/>
        <v>427.6</v>
      </c>
      <c r="K994" s="39" t="s">
        <v>19</v>
      </c>
    </row>
    <row r="995" ht="41" customHeight="1" spans="1:11">
      <c r="A995" s="111">
        <v>90</v>
      </c>
      <c r="B995" s="112">
        <v>13308001770000</v>
      </c>
      <c r="C995" s="67" t="s">
        <v>2215</v>
      </c>
      <c r="D995" s="67" t="s">
        <v>2216</v>
      </c>
      <c r="E995" s="67" t="s">
        <v>2213</v>
      </c>
      <c r="F995" s="37"/>
      <c r="G995" s="37"/>
      <c r="H995" s="67" t="s">
        <v>35</v>
      </c>
      <c r="I995" s="37"/>
      <c r="J995" s="129">
        <v>2316</v>
      </c>
      <c r="K995" s="39" t="s">
        <v>19</v>
      </c>
    </row>
    <row r="996" ht="41" customHeight="1" spans="1:11">
      <c r="A996" s="115"/>
      <c r="B996" s="112">
        <v>13308001770001</v>
      </c>
      <c r="C996" s="67" t="s">
        <v>2217</v>
      </c>
      <c r="D996" s="37"/>
      <c r="E996" s="37"/>
      <c r="F996" s="37"/>
      <c r="G996" s="37"/>
      <c r="H996" s="67" t="s">
        <v>35</v>
      </c>
      <c r="I996" s="37"/>
      <c r="J996" s="129">
        <f t="shared" si="67"/>
        <v>463.2</v>
      </c>
      <c r="K996" s="39" t="s">
        <v>19</v>
      </c>
    </row>
    <row r="997" ht="41" customHeight="1" spans="1:11">
      <c r="A997" s="111">
        <v>91</v>
      </c>
      <c r="B997" s="112">
        <v>13308001780000</v>
      </c>
      <c r="C997" s="67" t="s">
        <v>2218</v>
      </c>
      <c r="D997" s="67" t="s">
        <v>2219</v>
      </c>
      <c r="E997" s="67" t="s">
        <v>2220</v>
      </c>
      <c r="F997" s="37"/>
      <c r="G997" s="37"/>
      <c r="H997" s="67" t="s">
        <v>35</v>
      </c>
      <c r="I997" s="37"/>
      <c r="J997" s="129">
        <v>1348</v>
      </c>
      <c r="K997" s="39" t="s">
        <v>19</v>
      </c>
    </row>
    <row r="998" ht="41" customHeight="1" spans="1:11">
      <c r="A998" s="115"/>
      <c r="B998" s="112">
        <v>13308001780001</v>
      </c>
      <c r="C998" s="67" t="s">
        <v>2221</v>
      </c>
      <c r="D998" s="37"/>
      <c r="E998" s="37"/>
      <c r="F998" s="37"/>
      <c r="G998" s="37"/>
      <c r="H998" s="67" t="s">
        <v>35</v>
      </c>
      <c r="I998" s="37"/>
      <c r="J998" s="129">
        <f t="shared" ref="J998:J1002" si="68">+J997*0.2</f>
        <v>269.6</v>
      </c>
      <c r="K998" s="39" t="s">
        <v>19</v>
      </c>
    </row>
    <row r="999" ht="41" customHeight="1" spans="1:11">
      <c r="A999" s="111">
        <v>92</v>
      </c>
      <c r="B999" s="112">
        <v>13308001790000</v>
      </c>
      <c r="C999" s="67" t="s">
        <v>2222</v>
      </c>
      <c r="D999" s="67" t="s">
        <v>2223</v>
      </c>
      <c r="E999" s="67" t="s">
        <v>2220</v>
      </c>
      <c r="F999" s="37"/>
      <c r="G999" s="37"/>
      <c r="H999" s="67" t="s">
        <v>35</v>
      </c>
      <c r="I999" s="37"/>
      <c r="J999" s="129">
        <v>1450</v>
      </c>
      <c r="K999" s="39" t="s">
        <v>19</v>
      </c>
    </row>
    <row r="1000" ht="41" customHeight="1" spans="1:11">
      <c r="A1000" s="115"/>
      <c r="B1000" s="112">
        <v>13308001790001</v>
      </c>
      <c r="C1000" s="67" t="s">
        <v>2224</v>
      </c>
      <c r="D1000" s="37"/>
      <c r="E1000" s="37"/>
      <c r="F1000" s="37"/>
      <c r="G1000" s="37"/>
      <c r="H1000" s="67" t="s">
        <v>35</v>
      </c>
      <c r="I1000" s="37"/>
      <c r="J1000" s="129">
        <f t="shared" si="68"/>
        <v>290</v>
      </c>
      <c r="K1000" s="39" t="s">
        <v>19</v>
      </c>
    </row>
    <row r="1001" ht="41" customHeight="1" spans="1:11">
      <c r="A1001" s="111">
        <v>93</v>
      </c>
      <c r="B1001" s="112">
        <v>13308001800000</v>
      </c>
      <c r="C1001" s="67" t="s">
        <v>2225</v>
      </c>
      <c r="D1001" s="67" t="s">
        <v>2226</v>
      </c>
      <c r="E1001" s="67" t="s">
        <v>2227</v>
      </c>
      <c r="F1001" s="37"/>
      <c r="G1001" s="37"/>
      <c r="H1001" s="67" t="s">
        <v>35</v>
      </c>
      <c r="I1001" s="37"/>
      <c r="J1001" s="129">
        <v>1542</v>
      </c>
      <c r="K1001" s="39" t="s">
        <v>19</v>
      </c>
    </row>
    <row r="1002" ht="41" customHeight="1" spans="1:11">
      <c r="A1002" s="115"/>
      <c r="B1002" s="112">
        <v>13308001800001</v>
      </c>
      <c r="C1002" s="67" t="s">
        <v>2228</v>
      </c>
      <c r="D1002" s="37"/>
      <c r="E1002" s="37"/>
      <c r="F1002" s="37"/>
      <c r="G1002" s="37"/>
      <c r="H1002" s="67" t="s">
        <v>35</v>
      </c>
      <c r="I1002" s="37"/>
      <c r="J1002" s="129">
        <f t="shared" si="68"/>
        <v>308.4</v>
      </c>
      <c r="K1002" s="39" t="s">
        <v>19</v>
      </c>
    </row>
    <row r="1003" ht="41" customHeight="1" spans="1:11">
      <c r="A1003" s="111">
        <v>94</v>
      </c>
      <c r="B1003" s="112">
        <v>13308001810000</v>
      </c>
      <c r="C1003" s="67" t="s">
        <v>2229</v>
      </c>
      <c r="D1003" s="67" t="s">
        <v>2230</v>
      </c>
      <c r="E1003" s="67" t="s">
        <v>2227</v>
      </c>
      <c r="F1003" s="37"/>
      <c r="G1003" s="37"/>
      <c r="H1003" s="67" t="s">
        <v>35</v>
      </c>
      <c r="I1003" s="37"/>
      <c r="J1003" s="129">
        <v>4237</v>
      </c>
      <c r="K1003" s="39" t="s">
        <v>40</v>
      </c>
    </row>
    <row r="1004" ht="41" customHeight="1" spans="1:11">
      <c r="A1004" s="115"/>
      <c r="B1004" s="112">
        <v>13308001810001</v>
      </c>
      <c r="C1004" s="67" t="s">
        <v>2231</v>
      </c>
      <c r="D1004" s="37"/>
      <c r="E1004" s="37"/>
      <c r="F1004" s="37"/>
      <c r="G1004" s="37"/>
      <c r="H1004" s="67" t="s">
        <v>35</v>
      </c>
      <c r="I1004" s="37"/>
      <c r="J1004" s="129">
        <f t="shared" ref="J1004:J1008" si="69">+J1003*0.2</f>
        <v>847.4</v>
      </c>
      <c r="K1004" s="39" t="s">
        <v>40</v>
      </c>
    </row>
    <row r="1005" ht="41" customHeight="1" spans="1:11">
      <c r="A1005" s="111">
        <v>95</v>
      </c>
      <c r="B1005" s="112">
        <v>13308001820000</v>
      </c>
      <c r="C1005" s="67" t="s">
        <v>2232</v>
      </c>
      <c r="D1005" s="67" t="s">
        <v>2233</v>
      </c>
      <c r="E1005" s="67" t="s">
        <v>2227</v>
      </c>
      <c r="F1005" s="37"/>
      <c r="G1005" s="37"/>
      <c r="H1005" s="67" t="s">
        <v>35</v>
      </c>
      <c r="I1005" s="37"/>
      <c r="J1005" s="129">
        <v>3441</v>
      </c>
      <c r="K1005" s="39" t="s">
        <v>40</v>
      </c>
    </row>
    <row r="1006" ht="41" customHeight="1" spans="1:11">
      <c r="A1006" s="115"/>
      <c r="B1006" s="112">
        <v>13308001820001</v>
      </c>
      <c r="C1006" s="67" t="s">
        <v>2234</v>
      </c>
      <c r="D1006" s="37"/>
      <c r="E1006" s="37"/>
      <c r="F1006" s="37"/>
      <c r="G1006" s="37"/>
      <c r="H1006" s="67" t="s">
        <v>35</v>
      </c>
      <c r="I1006" s="37"/>
      <c r="J1006" s="129">
        <f t="shared" si="69"/>
        <v>688.2</v>
      </c>
      <c r="K1006" s="39" t="s">
        <v>40</v>
      </c>
    </row>
    <row r="1007" ht="41" customHeight="1" spans="1:11">
      <c r="A1007" s="111">
        <v>96</v>
      </c>
      <c r="B1007" s="112">
        <v>13308001830000</v>
      </c>
      <c r="C1007" s="67" t="s">
        <v>2235</v>
      </c>
      <c r="D1007" s="67" t="s">
        <v>2236</v>
      </c>
      <c r="E1007" s="67" t="s">
        <v>2227</v>
      </c>
      <c r="F1007" s="37"/>
      <c r="G1007" s="37"/>
      <c r="H1007" s="67" t="s">
        <v>35</v>
      </c>
      <c r="I1007" s="67" t="s">
        <v>2237</v>
      </c>
      <c r="J1007" s="129">
        <v>3815</v>
      </c>
      <c r="K1007" s="39" t="s">
        <v>40</v>
      </c>
    </row>
    <row r="1008" ht="41" customHeight="1" spans="1:11">
      <c r="A1008" s="115"/>
      <c r="B1008" s="112">
        <v>13308001830001</v>
      </c>
      <c r="C1008" s="67" t="s">
        <v>2238</v>
      </c>
      <c r="D1008" s="37"/>
      <c r="E1008" s="37"/>
      <c r="F1008" s="37"/>
      <c r="G1008" s="37"/>
      <c r="H1008" s="67" t="s">
        <v>35</v>
      </c>
      <c r="I1008" s="37"/>
      <c r="J1008" s="129">
        <f t="shared" si="69"/>
        <v>763</v>
      </c>
      <c r="K1008" s="39" t="s">
        <v>40</v>
      </c>
    </row>
    <row r="1009" ht="41" customHeight="1" spans="1:11">
      <c r="A1009" s="111">
        <v>97</v>
      </c>
      <c r="B1009" s="112">
        <v>13308001840000</v>
      </c>
      <c r="C1009" s="67" t="s">
        <v>2239</v>
      </c>
      <c r="D1009" s="67" t="s">
        <v>2240</v>
      </c>
      <c r="E1009" s="67" t="s">
        <v>2241</v>
      </c>
      <c r="F1009" s="37"/>
      <c r="G1009" s="37"/>
      <c r="H1009" s="67" t="s">
        <v>35</v>
      </c>
      <c r="I1009" s="37"/>
      <c r="J1009" s="129">
        <v>3000</v>
      </c>
      <c r="K1009" s="39" t="s">
        <v>40</v>
      </c>
    </row>
    <row r="1010" ht="41" customHeight="1" spans="1:11">
      <c r="A1010" s="115"/>
      <c r="B1010" s="112">
        <v>13308001840001</v>
      </c>
      <c r="C1010" s="67" t="s">
        <v>2242</v>
      </c>
      <c r="D1010" s="37"/>
      <c r="E1010" s="37"/>
      <c r="F1010" s="37"/>
      <c r="G1010" s="37"/>
      <c r="H1010" s="67" t="s">
        <v>35</v>
      </c>
      <c r="I1010" s="37"/>
      <c r="J1010" s="129">
        <f t="shared" ref="J1010:J1014" si="70">+J1009*0.2</f>
        <v>600</v>
      </c>
      <c r="K1010" s="39" t="s">
        <v>40</v>
      </c>
    </row>
    <row r="1011" ht="41" customHeight="1" spans="1:11">
      <c r="A1011" s="111">
        <v>98</v>
      </c>
      <c r="B1011" s="112">
        <v>13308001850000</v>
      </c>
      <c r="C1011" s="67" t="s">
        <v>2243</v>
      </c>
      <c r="D1011" s="67" t="s">
        <v>2244</v>
      </c>
      <c r="E1011" s="67" t="s">
        <v>2241</v>
      </c>
      <c r="F1011" s="37"/>
      <c r="G1011" s="37"/>
      <c r="H1011" s="67" t="s">
        <v>35</v>
      </c>
      <c r="I1011" s="37"/>
      <c r="J1011" s="129">
        <v>2360</v>
      </c>
      <c r="K1011" s="39" t="s">
        <v>40</v>
      </c>
    </row>
    <row r="1012" ht="41" customHeight="1" spans="1:11">
      <c r="A1012" s="115"/>
      <c r="B1012" s="112">
        <v>13308001850001</v>
      </c>
      <c r="C1012" s="67" t="s">
        <v>2245</v>
      </c>
      <c r="D1012" s="37"/>
      <c r="E1012" s="37"/>
      <c r="F1012" s="37"/>
      <c r="G1012" s="37"/>
      <c r="H1012" s="67" t="s">
        <v>35</v>
      </c>
      <c r="I1012" s="37"/>
      <c r="J1012" s="129">
        <f t="shared" si="70"/>
        <v>472</v>
      </c>
      <c r="K1012" s="39" t="s">
        <v>40</v>
      </c>
    </row>
    <row r="1013" ht="41" customHeight="1" spans="1:11">
      <c r="A1013" s="111">
        <v>99</v>
      </c>
      <c r="B1013" s="112">
        <v>13308001860000</v>
      </c>
      <c r="C1013" s="67" t="s">
        <v>2246</v>
      </c>
      <c r="D1013" s="67" t="s">
        <v>2247</v>
      </c>
      <c r="E1013" s="67" t="s">
        <v>2248</v>
      </c>
      <c r="F1013" s="37"/>
      <c r="G1013" s="37"/>
      <c r="H1013" s="67" t="s">
        <v>35</v>
      </c>
      <c r="I1013" s="37"/>
      <c r="J1013" s="129">
        <v>1043</v>
      </c>
      <c r="K1013" s="39" t="s">
        <v>19</v>
      </c>
    </row>
    <row r="1014" ht="29.25" customHeight="1" spans="1:11">
      <c r="A1014" s="115"/>
      <c r="B1014" s="112">
        <v>13308001860001</v>
      </c>
      <c r="C1014" s="67" t="s">
        <v>2249</v>
      </c>
      <c r="D1014" s="37"/>
      <c r="E1014" s="37"/>
      <c r="F1014" s="37"/>
      <c r="G1014" s="37"/>
      <c r="H1014" s="67" t="s">
        <v>35</v>
      </c>
      <c r="I1014" s="37"/>
      <c r="J1014" s="129">
        <f t="shared" si="70"/>
        <v>208.6</v>
      </c>
      <c r="K1014" s="39" t="s">
        <v>19</v>
      </c>
    </row>
    <row r="1015" customHeight="1" spans="1:11">
      <c r="A1015" s="111">
        <v>100</v>
      </c>
      <c r="B1015" s="112">
        <v>13308001870000</v>
      </c>
      <c r="C1015" s="67" t="s">
        <v>2250</v>
      </c>
      <c r="D1015" s="67" t="s">
        <v>2251</v>
      </c>
      <c r="E1015" s="67" t="s">
        <v>2252</v>
      </c>
      <c r="F1015" s="37"/>
      <c r="G1015" s="37"/>
      <c r="H1015" s="67" t="s">
        <v>35</v>
      </c>
      <c r="I1015" s="37"/>
      <c r="J1015" s="129">
        <v>2783</v>
      </c>
      <c r="K1015" s="39" t="s">
        <v>47</v>
      </c>
    </row>
    <row r="1016" spans="1:11">
      <c r="A1016" s="115"/>
      <c r="B1016" s="112">
        <v>13308001870001</v>
      </c>
      <c r="C1016" s="67" t="s">
        <v>2253</v>
      </c>
      <c r="D1016" s="37"/>
      <c r="E1016" s="37"/>
      <c r="F1016" s="37"/>
      <c r="G1016" s="37"/>
      <c r="H1016" s="67" t="s">
        <v>35</v>
      </c>
      <c r="I1016" s="37"/>
      <c r="J1016" s="129">
        <f t="shared" ref="J1016:J1020" si="71">+J1015*0.2</f>
        <v>556.6</v>
      </c>
      <c r="K1016" s="39" t="s">
        <v>47</v>
      </c>
    </row>
    <row r="1017" ht="36" spans="1:11">
      <c r="A1017" s="111">
        <v>101</v>
      </c>
      <c r="B1017" s="112">
        <v>13308001880000</v>
      </c>
      <c r="C1017" s="67" t="s">
        <v>2254</v>
      </c>
      <c r="D1017" s="67" t="s">
        <v>2255</v>
      </c>
      <c r="E1017" s="67" t="s">
        <v>2256</v>
      </c>
      <c r="F1017" s="37"/>
      <c r="G1017" s="37"/>
      <c r="H1017" s="67" t="s">
        <v>35</v>
      </c>
      <c r="I1017" s="37"/>
      <c r="J1017" s="129">
        <v>3538</v>
      </c>
      <c r="K1017" s="39" t="s">
        <v>19</v>
      </c>
    </row>
    <row r="1018" ht="24" spans="1:11">
      <c r="A1018" s="115"/>
      <c r="B1018" s="112">
        <v>13308001880001</v>
      </c>
      <c r="C1018" s="67" t="s">
        <v>2257</v>
      </c>
      <c r="D1018" s="37"/>
      <c r="E1018" s="37"/>
      <c r="F1018" s="37"/>
      <c r="G1018" s="37"/>
      <c r="H1018" s="67" t="s">
        <v>35</v>
      </c>
      <c r="I1018" s="37"/>
      <c r="J1018" s="129">
        <f t="shared" si="71"/>
        <v>707.6</v>
      </c>
      <c r="K1018" s="39" t="s">
        <v>19</v>
      </c>
    </row>
    <row r="1019" ht="48" spans="1:11">
      <c r="A1019" s="111">
        <v>102</v>
      </c>
      <c r="B1019" s="112">
        <v>13308001890000</v>
      </c>
      <c r="C1019" s="67" t="s">
        <v>2258</v>
      </c>
      <c r="D1019" s="67" t="s">
        <v>2259</v>
      </c>
      <c r="E1019" s="67" t="s">
        <v>2260</v>
      </c>
      <c r="F1019" s="37"/>
      <c r="G1019" s="37"/>
      <c r="H1019" s="67" t="s">
        <v>35</v>
      </c>
      <c r="I1019" s="37"/>
      <c r="J1019" s="129">
        <v>1602</v>
      </c>
      <c r="K1019" s="39" t="s">
        <v>19</v>
      </c>
    </row>
    <row r="1020" spans="1:11">
      <c r="A1020" s="115"/>
      <c r="B1020" s="112">
        <v>13308001890001</v>
      </c>
      <c r="C1020" s="67" t="s">
        <v>2261</v>
      </c>
      <c r="D1020" s="37"/>
      <c r="E1020" s="37"/>
      <c r="F1020" s="37"/>
      <c r="G1020" s="37"/>
      <c r="H1020" s="67" t="s">
        <v>35</v>
      </c>
      <c r="I1020" s="37"/>
      <c r="J1020" s="129">
        <f t="shared" si="71"/>
        <v>320.4</v>
      </c>
      <c r="K1020" s="39" t="s">
        <v>19</v>
      </c>
    </row>
    <row r="1021" ht="48" spans="1:11">
      <c r="A1021" s="111">
        <v>103</v>
      </c>
      <c r="B1021" s="112">
        <v>13308001900000</v>
      </c>
      <c r="C1021" s="67" t="s">
        <v>2262</v>
      </c>
      <c r="D1021" s="67" t="s">
        <v>2263</v>
      </c>
      <c r="E1021" s="67" t="s">
        <v>2264</v>
      </c>
      <c r="F1021" s="37"/>
      <c r="G1021" s="37"/>
      <c r="H1021" s="67" t="s">
        <v>35</v>
      </c>
      <c r="I1021" s="37"/>
      <c r="J1021" s="129">
        <v>1350</v>
      </c>
      <c r="K1021" s="39" t="s">
        <v>40</v>
      </c>
    </row>
    <row r="1022" spans="1:11">
      <c r="A1022" s="115"/>
      <c r="B1022" s="112">
        <v>13308001900001</v>
      </c>
      <c r="C1022" s="67" t="s">
        <v>2265</v>
      </c>
      <c r="D1022" s="37"/>
      <c r="E1022" s="37"/>
      <c r="F1022" s="37"/>
      <c r="G1022" s="37"/>
      <c r="H1022" s="67" t="s">
        <v>35</v>
      </c>
      <c r="I1022" s="37"/>
      <c r="J1022" s="129">
        <f t="shared" ref="J1022:J1026" si="72">+J1021*0.2</f>
        <v>270</v>
      </c>
      <c r="K1022" s="39" t="s">
        <v>40</v>
      </c>
    </row>
    <row r="1023" ht="48" spans="1:11">
      <c r="A1023" s="111">
        <v>104</v>
      </c>
      <c r="B1023" s="112">
        <v>13308001910000</v>
      </c>
      <c r="C1023" s="67" t="s">
        <v>2266</v>
      </c>
      <c r="D1023" s="67" t="s">
        <v>2267</v>
      </c>
      <c r="E1023" s="67" t="s">
        <v>2268</v>
      </c>
      <c r="F1023" s="37"/>
      <c r="G1023" s="37"/>
      <c r="H1023" s="67" t="s">
        <v>35</v>
      </c>
      <c r="I1023" s="37"/>
      <c r="J1023" s="129">
        <v>1867</v>
      </c>
      <c r="K1023" s="39" t="s">
        <v>47</v>
      </c>
    </row>
    <row r="1024" spans="1:11">
      <c r="A1024" s="115"/>
      <c r="B1024" s="112">
        <v>13308001910001</v>
      </c>
      <c r="C1024" s="67" t="s">
        <v>2269</v>
      </c>
      <c r="D1024" s="37"/>
      <c r="E1024" s="37"/>
      <c r="F1024" s="37"/>
      <c r="G1024" s="37"/>
      <c r="H1024" s="67" t="s">
        <v>35</v>
      </c>
      <c r="I1024" s="37"/>
      <c r="J1024" s="129">
        <f t="shared" si="72"/>
        <v>373.4</v>
      </c>
      <c r="K1024" s="39" t="s">
        <v>47</v>
      </c>
    </row>
    <row r="1025" ht="48" spans="1:11">
      <c r="A1025" s="111">
        <v>105</v>
      </c>
      <c r="B1025" s="112">
        <v>13308001920000</v>
      </c>
      <c r="C1025" s="67" t="s">
        <v>2270</v>
      </c>
      <c r="D1025" s="67" t="s">
        <v>2271</v>
      </c>
      <c r="E1025" s="67" t="s">
        <v>2272</v>
      </c>
      <c r="F1025" s="37"/>
      <c r="G1025" s="37"/>
      <c r="H1025" s="67" t="s">
        <v>35</v>
      </c>
      <c r="I1025" s="37"/>
      <c r="J1025" s="129">
        <v>2540</v>
      </c>
      <c r="K1025" s="39" t="s">
        <v>40</v>
      </c>
    </row>
    <row r="1026" spans="1:11">
      <c r="A1026" s="115"/>
      <c r="B1026" s="112">
        <v>13308001920001</v>
      </c>
      <c r="C1026" s="67" t="s">
        <v>2273</v>
      </c>
      <c r="D1026" s="37"/>
      <c r="E1026" s="37"/>
      <c r="F1026" s="37"/>
      <c r="G1026" s="37"/>
      <c r="H1026" s="67" t="s">
        <v>35</v>
      </c>
      <c r="I1026" s="37"/>
      <c r="J1026" s="129">
        <f t="shared" si="72"/>
        <v>508</v>
      </c>
      <c r="K1026" s="39" t="s">
        <v>40</v>
      </c>
    </row>
    <row r="1027" ht="36" spans="1:11">
      <c r="A1027" s="111">
        <v>106</v>
      </c>
      <c r="B1027" s="112">
        <v>13308001930000</v>
      </c>
      <c r="C1027" s="67" t="s">
        <v>2274</v>
      </c>
      <c r="D1027" s="67" t="s">
        <v>2275</v>
      </c>
      <c r="E1027" s="67" t="s">
        <v>2276</v>
      </c>
      <c r="F1027" s="37"/>
      <c r="G1027" s="37"/>
      <c r="H1027" s="67" t="s">
        <v>35</v>
      </c>
      <c r="I1027" s="67" t="s">
        <v>2277</v>
      </c>
      <c r="J1027" s="129">
        <v>1595</v>
      </c>
      <c r="K1027" s="39" t="s">
        <v>40</v>
      </c>
    </row>
    <row r="1028" spans="1:11">
      <c r="A1028" s="115"/>
      <c r="B1028" s="112">
        <v>13308001930001</v>
      </c>
      <c r="C1028" s="67" t="s">
        <v>2278</v>
      </c>
      <c r="D1028" s="37"/>
      <c r="E1028" s="37"/>
      <c r="F1028" s="37"/>
      <c r="G1028" s="37"/>
      <c r="H1028" s="67" t="s">
        <v>35</v>
      </c>
      <c r="I1028" s="37"/>
      <c r="J1028" s="129">
        <f t="shared" ref="J1028:J1032" si="73">+J1027*0.2</f>
        <v>319</v>
      </c>
      <c r="K1028" s="39" t="s">
        <v>40</v>
      </c>
    </row>
    <row r="1029" ht="36" spans="1:11">
      <c r="A1029" s="111">
        <v>107</v>
      </c>
      <c r="B1029" s="112">
        <v>13308001940000</v>
      </c>
      <c r="C1029" s="67" t="s">
        <v>2279</v>
      </c>
      <c r="D1029" s="67" t="s">
        <v>2280</v>
      </c>
      <c r="E1029" s="67" t="s">
        <v>2281</v>
      </c>
      <c r="F1029" s="37"/>
      <c r="G1029" s="37"/>
      <c r="H1029" s="67" t="s">
        <v>35</v>
      </c>
      <c r="I1029" s="37"/>
      <c r="J1029" s="129">
        <v>1475</v>
      </c>
      <c r="K1029" s="39" t="s">
        <v>47</v>
      </c>
    </row>
    <row r="1030" spans="1:11">
      <c r="A1030" s="115"/>
      <c r="B1030" s="112">
        <v>13308001940001</v>
      </c>
      <c r="C1030" s="67" t="s">
        <v>2282</v>
      </c>
      <c r="D1030" s="37"/>
      <c r="E1030" s="37"/>
      <c r="F1030" s="37"/>
      <c r="G1030" s="37"/>
      <c r="H1030" s="67" t="s">
        <v>35</v>
      </c>
      <c r="I1030" s="37"/>
      <c r="J1030" s="129">
        <f t="shared" si="73"/>
        <v>295</v>
      </c>
      <c r="K1030" s="39" t="s">
        <v>47</v>
      </c>
    </row>
    <row r="1031" ht="36" spans="1:11">
      <c r="A1031" s="111">
        <v>108</v>
      </c>
      <c r="B1031" s="112">
        <v>13308001950000</v>
      </c>
      <c r="C1031" s="67" t="s">
        <v>2283</v>
      </c>
      <c r="D1031" s="67" t="s">
        <v>2284</v>
      </c>
      <c r="E1031" s="67" t="s">
        <v>2285</v>
      </c>
      <c r="F1031" s="37"/>
      <c r="G1031" s="37"/>
      <c r="H1031" s="67" t="s">
        <v>35</v>
      </c>
      <c r="I1031" s="37"/>
      <c r="J1031" s="129">
        <v>1575</v>
      </c>
      <c r="K1031" s="39" t="s">
        <v>47</v>
      </c>
    </row>
    <row r="1032" spans="1:11">
      <c r="A1032" s="115"/>
      <c r="B1032" s="112">
        <v>13308001950001</v>
      </c>
      <c r="C1032" s="67" t="s">
        <v>2286</v>
      </c>
      <c r="D1032" s="37"/>
      <c r="E1032" s="37"/>
      <c r="F1032" s="37"/>
      <c r="G1032" s="37"/>
      <c r="H1032" s="67" t="s">
        <v>35</v>
      </c>
      <c r="I1032" s="37"/>
      <c r="J1032" s="129">
        <f t="shared" si="73"/>
        <v>315</v>
      </c>
      <c r="K1032" s="39" t="s">
        <v>47</v>
      </c>
    </row>
    <row r="1033" ht="36" spans="1:11">
      <c r="A1033" s="116">
        <v>109</v>
      </c>
      <c r="B1033" s="112">
        <v>13107000110000</v>
      </c>
      <c r="C1033" s="67" t="s">
        <v>2287</v>
      </c>
      <c r="D1033" s="67" t="s">
        <v>2288</v>
      </c>
      <c r="E1033" s="67" t="s">
        <v>2289</v>
      </c>
      <c r="F1033" s="37"/>
      <c r="G1033" s="37"/>
      <c r="H1033" s="67" t="s">
        <v>2036</v>
      </c>
      <c r="I1033" s="37"/>
      <c r="J1033" s="129">
        <v>216</v>
      </c>
      <c r="K1033" s="39" t="s">
        <v>19</v>
      </c>
    </row>
    <row r="1034" ht="36" spans="1:11">
      <c r="A1034" s="111">
        <v>110</v>
      </c>
      <c r="B1034" s="112">
        <v>13309000020000</v>
      </c>
      <c r="C1034" s="67" t="s">
        <v>2290</v>
      </c>
      <c r="D1034" s="67" t="s">
        <v>2291</v>
      </c>
      <c r="E1034" s="67" t="s">
        <v>2292</v>
      </c>
      <c r="F1034" s="37"/>
      <c r="G1034" s="37"/>
      <c r="H1034" s="67" t="s">
        <v>35</v>
      </c>
      <c r="I1034" s="37"/>
      <c r="J1034" s="129">
        <v>1713</v>
      </c>
      <c r="K1034" s="39" t="s">
        <v>19</v>
      </c>
    </row>
    <row r="1035" ht="24" spans="1:11">
      <c r="A1035" s="115"/>
      <c r="B1035" s="112">
        <v>13309000020001</v>
      </c>
      <c r="C1035" s="67" t="s">
        <v>2293</v>
      </c>
      <c r="D1035" s="37"/>
      <c r="E1035" s="37"/>
      <c r="F1035" s="37"/>
      <c r="G1035" s="37"/>
      <c r="H1035" s="67" t="s">
        <v>35</v>
      </c>
      <c r="I1035" s="37"/>
      <c r="J1035" s="129">
        <f t="shared" ref="J1035:J1039" si="74">+J1034*0.2</f>
        <v>342.6</v>
      </c>
      <c r="K1035" s="39" t="s">
        <v>19</v>
      </c>
    </row>
    <row r="1036" ht="36" spans="1:11">
      <c r="A1036" s="111">
        <v>111</v>
      </c>
      <c r="B1036" s="112">
        <v>13309000030000</v>
      </c>
      <c r="C1036" s="67" t="s">
        <v>2294</v>
      </c>
      <c r="D1036" s="67" t="s">
        <v>2295</v>
      </c>
      <c r="E1036" s="67" t="s">
        <v>2292</v>
      </c>
      <c r="F1036" s="37"/>
      <c r="G1036" s="37"/>
      <c r="H1036" s="67" t="s">
        <v>35</v>
      </c>
      <c r="I1036" s="67" t="s">
        <v>2296</v>
      </c>
      <c r="J1036" s="129">
        <v>2055</v>
      </c>
      <c r="K1036" s="39" t="s">
        <v>19</v>
      </c>
    </row>
    <row r="1037" ht="24" spans="1:11">
      <c r="A1037" s="115"/>
      <c r="B1037" s="112">
        <v>13309000030001</v>
      </c>
      <c r="C1037" s="67" t="s">
        <v>2297</v>
      </c>
      <c r="D1037" s="37"/>
      <c r="E1037" s="37"/>
      <c r="F1037" s="37"/>
      <c r="G1037" s="37"/>
      <c r="H1037" s="67" t="s">
        <v>35</v>
      </c>
      <c r="I1037" s="37"/>
      <c r="J1037" s="129">
        <f t="shared" si="74"/>
        <v>411</v>
      </c>
      <c r="K1037" s="39" t="s">
        <v>19</v>
      </c>
    </row>
    <row r="1038" ht="36" spans="1:11">
      <c r="A1038" s="111">
        <v>112</v>
      </c>
      <c r="B1038" s="112">
        <v>13309000040000</v>
      </c>
      <c r="C1038" s="67" t="s">
        <v>2298</v>
      </c>
      <c r="D1038" s="67" t="s">
        <v>2299</v>
      </c>
      <c r="E1038" s="67" t="s">
        <v>2300</v>
      </c>
      <c r="F1038" s="37"/>
      <c r="G1038" s="37"/>
      <c r="H1038" s="67" t="s">
        <v>35</v>
      </c>
      <c r="I1038" s="37"/>
      <c r="J1038" s="129">
        <v>2125</v>
      </c>
      <c r="K1038" s="39" t="s">
        <v>40</v>
      </c>
    </row>
    <row r="1039" spans="1:11">
      <c r="A1039" s="115"/>
      <c r="B1039" s="112">
        <v>13309000040001</v>
      </c>
      <c r="C1039" s="67" t="s">
        <v>2301</v>
      </c>
      <c r="D1039" s="37"/>
      <c r="E1039" s="37"/>
      <c r="F1039" s="37"/>
      <c r="G1039" s="37"/>
      <c r="H1039" s="67" t="s">
        <v>35</v>
      </c>
      <c r="I1039" s="37"/>
      <c r="J1039" s="129">
        <f t="shared" si="74"/>
        <v>425</v>
      </c>
      <c r="K1039" s="39" t="s">
        <v>40</v>
      </c>
    </row>
    <row r="1040" ht="36" spans="1:11">
      <c r="A1040" s="111">
        <v>113</v>
      </c>
      <c r="B1040" s="112">
        <v>13309000070000</v>
      </c>
      <c r="C1040" s="67" t="s">
        <v>2302</v>
      </c>
      <c r="D1040" s="67" t="s">
        <v>2303</v>
      </c>
      <c r="E1040" s="67" t="s">
        <v>2304</v>
      </c>
      <c r="F1040" s="37"/>
      <c r="G1040" s="37"/>
      <c r="H1040" s="67" t="s">
        <v>35</v>
      </c>
      <c r="I1040" s="37"/>
      <c r="J1040" s="129">
        <v>2690</v>
      </c>
      <c r="K1040" s="39" t="s">
        <v>19</v>
      </c>
    </row>
    <row r="1041" spans="1:11">
      <c r="A1041" s="115"/>
      <c r="B1041" s="112">
        <v>13309000070001</v>
      </c>
      <c r="C1041" s="67" t="s">
        <v>2305</v>
      </c>
      <c r="D1041" s="37"/>
      <c r="E1041" s="37"/>
      <c r="F1041" s="37"/>
      <c r="G1041" s="37"/>
      <c r="H1041" s="67" t="s">
        <v>35</v>
      </c>
      <c r="I1041" s="37"/>
      <c r="J1041" s="129">
        <f t="shared" ref="J1041:J1045" si="75">+J1040*0.2</f>
        <v>538</v>
      </c>
      <c r="K1041" s="39" t="s">
        <v>19</v>
      </c>
    </row>
    <row r="1042" ht="36" spans="1:11">
      <c r="A1042" s="111">
        <v>114</v>
      </c>
      <c r="B1042" s="112">
        <v>13309000080000</v>
      </c>
      <c r="C1042" s="67" t="s">
        <v>2306</v>
      </c>
      <c r="D1042" s="67" t="s">
        <v>2307</v>
      </c>
      <c r="E1042" s="67" t="s">
        <v>2308</v>
      </c>
      <c r="F1042" s="37"/>
      <c r="G1042" s="37"/>
      <c r="H1042" s="67" t="s">
        <v>35</v>
      </c>
      <c r="I1042" s="37"/>
      <c r="J1042" s="129">
        <v>2590</v>
      </c>
      <c r="K1042" s="39" t="s">
        <v>40</v>
      </c>
    </row>
    <row r="1043" spans="1:11">
      <c r="A1043" s="115"/>
      <c r="B1043" s="112">
        <v>13309000080001</v>
      </c>
      <c r="C1043" s="67" t="s">
        <v>2309</v>
      </c>
      <c r="D1043" s="37"/>
      <c r="E1043" s="37"/>
      <c r="F1043" s="37"/>
      <c r="G1043" s="37"/>
      <c r="H1043" s="67" t="s">
        <v>35</v>
      </c>
      <c r="I1043" s="37"/>
      <c r="J1043" s="129">
        <f t="shared" si="75"/>
        <v>518</v>
      </c>
      <c r="K1043" s="39" t="s">
        <v>40</v>
      </c>
    </row>
    <row r="1044" ht="36" spans="1:11">
      <c r="A1044" s="111">
        <v>115</v>
      </c>
      <c r="B1044" s="112">
        <v>13309000050000</v>
      </c>
      <c r="C1044" s="67" t="s">
        <v>2310</v>
      </c>
      <c r="D1044" s="67" t="s">
        <v>2311</v>
      </c>
      <c r="E1044" s="67" t="s">
        <v>2312</v>
      </c>
      <c r="F1044" s="37"/>
      <c r="G1044" s="37"/>
      <c r="H1044" s="67" t="s">
        <v>1888</v>
      </c>
      <c r="I1044" s="67" t="s">
        <v>2313</v>
      </c>
      <c r="J1044" s="129">
        <v>1151</v>
      </c>
      <c r="K1044" s="39" t="s">
        <v>19</v>
      </c>
    </row>
    <row r="1045" ht="24" spans="1:11">
      <c r="A1045" s="115"/>
      <c r="B1045" s="112">
        <v>13309000050001</v>
      </c>
      <c r="C1045" s="67" t="s">
        <v>2314</v>
      </c>
      <c r="D1045" s="37"/>
      <c r="E1045" s="37"/>
      <c r="F1045" s="37"/>
      <c r="G1045" s="37"/>
      <c r="H1045" s="67" t="s">
        <v>1888</v>
      </c>
      <c r="I1045" s="37"/>
      <c r="J1045" s="129">
        <f t="shared" si="75"/>
        <v>230.2</v>
      </c>
      <c r="K1045" s="39" t="s">
        <v>19</v>
      </c>
    </row>
    <row r="1046" ht="60" spans="1:11">
      <c r="A1046" s="111">
        <v>116</v>
      </c>
      <c r="B1046" s="112">
        <v>13309000060000</v>
      </c>
      <c r="C1046" s="67" t="s">
        <v>2315</v>
      </c>
      <c r="D1046" s="67" t="s">
        <v>2316</v>
      </c>
      <c r="E1046" s="67" t="s">
        <v>2312</v>
      </c>
      <c r="F1046" s="37"/>
      <c r="G1046" s="37"/>
      <c r="H1046" s="67" t="s">
        <v>1888</v>
      </c>
      <c r="I1046" s="67" t="s">
        <v>2317</v>
      </c>
      <c r="J1046" s="129">
        <v>2193</v>
      </c>
      <c r="K1046" s="39" t="s">
        <v>19</v>
      </c>
    </row>
    <row r="1047" ht="24" spans="1:11">
      <c r="A1047" s="115"/>
      <c r="B1047" s="112">
        <v>13309000060001</v>
      </c>
      <c r="C1047" s="67" t="s">
        <v>2318</v>
      </c>
      <c r="D1047" s="37"/>
      <c r="E1047" s="37"/>
      <c r="F1047" s="37"/>
      <c r="G1047" s="37"/>
      <c r="H1047" s="67" t="s">
        <v>1888</v>
      </c>
      <c r="I1047" s="37"/>
      <c r="J1047" s="129">
        <f>+J1046*0.2</f>
        <v>438.6</v>
      </c>
      <c r="K1047" s="39" t="s">
        <v>19</v>
      </c>
    </row>
    <row r="1049" spans="1:11">
      <c r="B1049" s="18" t="s">
        <v>2319</v>
      </c>
      <c r="C1049" s="18"/>
      <c r="D1049" s="18"/>
      <c r="E1049" s="18"/>
      <c r="F1049" s="18"/>
      <c r="G1049" s="18"/>
      <c r="H1049" s="18"/>
      <c r="I1049" s="18"/>
      <c r="J1049" s="24"/>
      <c r="K1049" s="23"/>
    </row>
    <row r="1050" spans="1:11">
      <c r="B1050" s="18"/>
      <c r="C1050" s="18"/>
      <c r="D1050" s="18"/>
      <c r="E1050" s="148"/>
      <c r="H1050" s="24"/>
      <c r="I1050" s="2"/>
      <c r="J1050" s="149" t="s">
        <v>2320</v>
      </c>
      <c r="K1050" s="148"/>
    </row>
    <row r="1051" spans="1:11">
      <c r="B1051" s="19"/>
      <c r="C1051" s="19"/>
      <c r="D1051" s="20"/>
      <c r="E1051" s="150"/>
      <c r="H1051" s="24"/>
      <c r="I1051" s="2"/>
      <c r="J1051" s="151"/>
      <c r="K1051" s="152" t="s">
        <v>2321</v>
      </c>
    </row>
  </sheetData>
  <autoFilter xmlns:etc="http://www.wps.cn/officeDocument/2017/etCustomData" ref="A4:K1047" etc:filterBottomFollowUsedRange="0">
    <extLst/>
  </autoFilter>
  <mergeCells count="442">
    <mergeCell ref="A1:K1"/>
    <mergeCell ref="A3:K3"/>
    <mergeCell ref="B1049:I1049"/>
    <mergeCell ref="J1050:K1050"/>
    <mergeCell ref="A5:A6"/>
    <mergeCell ref="A7:A8"/>
    <mergeCell ref="A9:A10"/>
    <mergeCell ref="A11:A12"/>
    <mergeCell ref="A13:A14"/>
    <mergeCell ref="A15:A16"/>
    <mergeCell ref="A17:A18"/>
    <mergeCell ref="A19:A20"/>
    <mergeCell ref="A21:A22"/>
    <mergeCell ref="A23:A24"/>
    <mergeCell ref="A25:A26"/>
    <mergeCell ref="A27:A29"/>
    <mergeCell ref="A30:A32"/>
    <mergeCell ref="A33:A35"/>
    <mergeCell ref="A36:A38"/>
    <mergeCell ref="A39:A40"/>
    <mergeCell ref="A41:A42"/>
    <mergeCell ref="A43:A44"/>
    <mergeCell ref="A45:A46"/>
    <mergeCell ref="A47:A48"/>
    <mergeCell ref="A49:A51"/>
    <mergeCell ref="A52:A54"/>
    <mergeCell ref="A55:A59"/>
    <mergeCell ref="A65:A67"/>
    <mergeCell ref="A68:A70"/>
    <mergeCell ref="A71:A74"/>
    <mergeCell ref="A75:A77"/>
    <mergeCell ref="A78:A79"/>
    <mergeCell ref="A80:A82"/>
    <mergeCell ref="A83:A84"/>
    <mergeCell ref="A85:A87"/>
    <mergeCell ref="A88:A89"/>
    <mergeCell ref="A90:A92"/>
    <mergeCell ref="A93:A95"/>
    <mergeCell ref="A96:A99"/>
    <mergeCell ref="A100:A102"/>
    <mergeCell ref="A103:A105"/>
    <mergeCell ref="A106:A108"/>
    <mergeCell ref="A109:A111"/>
    <mergeCell ref="A112:A114"/>
    <mergeCell ref="A115:A117"/>
    <mergeCell ref="A118:A120"/>
    <mergeCell ref="A121:A123"/>
    <mergeCell ref="A124:A125"/>
    <mergeCell ref="A126:A128"/>
    <mergeCell ref="A129:A131"/>
    <mergeCell ref="A132:A133"/>
    <mergeCell ref="A134:A135"/>
    <mergeCell ref="A136:A137"/>
    <mergeCell ref="A138:A140"/>
    <mergeCell ref="A141: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2:A173"/>
    <mergeCell ref="A174:A175"/>
    <mergeCell ref="A176:A177"/>
    <mergeCell ref="A178:A179"/>
    <mergeCell ref="A180:A181"/>
    <mergeCell ref="A205:A206"/>
    <mergeCell ref="A210:A211"/>
    <mergeCell ref="A212:A213"/>
    <mergeCell ref="A215:A217"/>
    <mergeCell ref="A218:A219"/>
    <mergeCell ref="A220:A223"/>
    <mergeCell ref="A227:A228"/>
    <mergeCell ref="A229:A231"/>
    <mergeCell ref="A232:A234"/>
    <mergeCell ref="A235:A236"/>
    <mergeCell ref="A237:A238"/>
    <mergeCell ref="A239:A243"/>
    <mergeCell ref="A248:A251"/>
    <mergeCell ref="A252:A255"/>
    <mergeCell ref="A256:A258"/>
    <mergeCell ref="A259:A260"/>
    <mergeCell ref="A261:A262"/>
    <mergeCell ref="A263:A264"/>
    <mergeCell ref="A265:A266"/>
    <mergeCell ref="A268:A269"/>
    <mergeCell ref="A270:A273"/>
    <mergeCell ref="A274:A275"/>
    <mergeCell ref="A276:A277"/>
    <mergeCell ref="A278:A279"/>
    <mergeCell ref="A280:A281"/>
    <mergeCell ref="A282:A283"/>
    <mergeCell ref="A284:A285"/>
    <mergeCell ref="A286:A287"/>
    <mergeCell ref="A289:A290"/>
    <mergeCell ref="A291:A292"/>
    <mergeCell ref="A293:A294"/>
    <mergeCell ref="A295:A296"/>
    <mergeCell ref="A297:A298"/>
    <mergeCell ref="A299:A301"/>
    <mergeCell ref="A302:A303"/>
    <mergeCell ref="A304:A305"/>
    <mergeCell ref="A308:A310"/>
    <mergeCell ref="A311:A312"/>
    <mergeCell ref="A315:A316"/>
    <mergeCell ref="A318:A319"/>
    <mergeCell ref="A323:A325"/>
    <mergeCell ref="A328:A329"/>
    <mergeCell ref="A333:A334"/>
    <mergeCell ref="A335:A336"/>
    <mergeCell ref="A339:A341"/>
    <mergeCell ref="A342:A344"/>
    <mergeCell ref="A345:A346"/>
    <mergeCell ref="A348:A350"/>
    <mergeCell ref="A352:A353"/>
    <mergeCell ref="A354:A356"/>
    <mergeCell ref="A357:A358"/>
    <mergeCell ref="A359:A360"/>
    <mergeCell ref="A361:A362"/>
    <mergeCell ref="A369:A370"/>
    <mergeCell ref="A371:A372"/>
    <mergeCell ref="A374:A376"/>
    <mergeCell ref="A378:A380"/>
    <mergeCell ref="A381:A382"/>
    <mergeCell ref="A391:A392"/>
    <mergeCell ref="A418:A419"/>
    <mergeCell ref="A424:A425"/>
    <mergeCell ref="A426:A427"/>
    <mergeCell ref="A444:A446"/>
    <mergeCell ref="A447:A449"/>
    <mergeCell ref="A454:A455"/>
    <mergeCell ref="A465:A466"/>
    <mergeCell ref="A467:A468"/>
    <mergeCell ref="A471:A476"/>
    <mergeCell ref="A477:A480"/>
    <mergeCell ref="A481:A482"/>
    <mergeCell ref="A488:A489"/>
    <mergeCell ref="A490:A491"/>
    <mergeCell ref="A492:A495"/>
    <mergeCell ref="A496:A499"/>
    <mergeCell ref="A504:A505"/>
    <mergeCell ref="A506:A507"/>
    <mergeCell ref="A508:A510"/>
    <mergeCell ref="A511:A512"/>
    <mergeCell ref="A513:A515"/>
    <mergeCell ref="A516:A520"/>
    <mergeCell ref="A521:A525"/>
    <mergeCell ref="A526:A528"/>
    <mergeCell ref="A529:A530"/>
    <mergeCell ref="A531:A533"/>
    <mergeCell ref="A534:A535"/>
    <mergeCell ref="A536:A538"/>
    <mergeCell ref="A539:A540"/>
    <mergeCell ref="A541:A542"/>
    <mergeCell ref="A543:A545"/>
    <mergeCell ref="A546:A547"/>
    <mergeCell ref="A548:A549"/>
    <mergeCell ref="A550:A552"/>
    <mergeCell ref="A553:A556"/>
    <mergeCell ref="A557:A560"/>
    <mergeCell ref="A561:A562"/>
    <mergeCell ref="A563:A564"/>
    <mergeCell ref="A565:A566"/>
    <mergeCell ref="A567:A569"/>
    <mergeCell ref="A570:A573"/>
    <mergeCell ref="A574:A577"/>
    <mergeCell ref="A578:A580"/>
    <mergeCell ref="A581:A582"/>
    <mergeCell ref="A583:A584"/>
    <mergeCell ref="A585:A586"/>
    <mergeCell ref="A587:A589"/>
    <mergeCell ref="A590:A591"/>
    <mergeCell ref="A592:A593"/>
    <mergeCell ref="A594:A595"/>
    <mergeCell ref="A596:A599"/>
    <mergeCell ref="A600:A602"/>
    <mergeCell ref="A603:A606"/>
    <mergeCell ref="A607:A608"/>
    <mergeCell ref="A609:A610"/>
    <mergeCell ref="A611:A612"/>
    <mergeCell ref="A613:A616"/>
    <mergeCell ref="A617:A618"/>
    <mergeCell ref="A619:A621"/>
    <mergeCell ref="A622:A626"/>
    <mergeCell ref="A627:A629"/>
    <mergeCell ref="A630:A631"/>
    <mergeCell ref="A632:A634"/>
    <mergeCell ref="A635:A636"/>
    <mergeCell ref="A637:A638"/>
    <mergeCell ref="A639:A640"/>
    <mergeCell ref="A641:A644"/>
    <mergeCell ref="A645:A647"/>
    <mergeCell ref="A648:A652"/>
    <mergeCell ref="A653:A654"/>
    <mergeCell ref="A655:A656"/>
    <mergeCell ref="A657:A658"/>
    <mergeCell ref="A659:A661"/>
    <mergeCell ref="A662:A663"/>
    <mergeCell ref="A664:A665"/>
    <mergeCell ref="A666:A667"/>
    <mergeCell ref="A668:A669"/>
    <mergeCell ref="A670:A671"/>
    <mergeCell ref="A672:A673"/>
    <mergeCell ref="A674:A675"/>
    <mergeCell ref="A676:A677"/>
    <mergeCell ref="A678:A679"/>
    <mergeCell ref="A680:A682"/>
    <mergeCell ref="A683:A684"/>
    <mergeCell ref="A685:A686"/>
    <mergeCell ref="A687:A689"/>
    <mergeCell ref="A690:A691"/>
    <mergeCell ref="A692:A693"/>
    <mergeCell ref="A694:A697"/>
    <mergeCell ref="A698:A699"/>
    <mergeCell ref="A700:A701"/>
    <mergeCell ref="A702:A703"/>
    <mergeCell ref="A704:A705"/>
    <mergeCell ref="A706:A707"/>
    <mergeCell ref="A708:A709"/>
    <mergeCell ref="A710:A712"/>
    <mergeCell ref="A713:A714"/>
    <mergeCell ref="A715:A716"/>
    <mergeCell ref="A717:A718"/>
    <mergeCell ref="A719:A720"/>
    <mergeCell ref="A721:A722"/>
    <mergeCell ref="A723:A724"/>
    <mergeCell ref="A725:A728"/>
    <mergeCell ref="A729:A732"/>
    <mergeCell ref="A733:A734"/>
    <mergeCell ref="A735:A737"/>
    <mergeCell ref="A738:A739"/>
    <mergeCell ref="A740:A743"/>
    <mergeCell ref="A744:A746"/>
    <mergeCell ref="A747:A749"/>
    <mergeCell ref="A750:A751"/>
    <mergeCell ref="A752:A753"/>
    <mergeCell ref="A754:A755"/>
    <mergeCell ref="A756:A757"/>
    <mergeCell ref="A758:A759"/>
    <mergeCell ref="A760:A761"/>
    <mergeCell ref="A762:A763"/>
    <mergeCell ref="A764:A766"/>
    <mergeCell ref="A767:A768"/>
    <mergeCell ref="A769:A771"/>
    <mergeCell ref="A772:A774"/>
    <mergeCell ref="A775:A776"/>
    <mergeCell ref="A777:A778"/>
    <mergeCell ref="A779:A781"/>
    <mergeCell ref="A782:A784"/>
    <mergeCell ref="A785:A786"/>
    <mergeCell ref="A787:A788"/>
    <mergeCell ref="A789:A790"/>
    <mergeCell ref="A791:A794"/>
    <mergeCell ref="A795:A797"/>
    <mergeCell ref="A798:A799"/>
    <mergeCell ref="A800:A802"/>
    <mergeCell ref="A803:A804"/>
    <mergeCell ref="A805:A806"/>
    <mergeCell ref="A807:A808"/>
    <mergeCell ref="A809:A810"/>
    <mergeCell ref="A811:A814"/>
    <mergeCell ref="A816:A817"/>
    <mergeCell ref="A818:A819"/>
    <mergeCell ref="A820:A822"/>
    <mergeCell ref="A823:A824"/>
    <mergeCell ref="A825:A826"/>
    <mergeCell ref="A827:A828"/>
    <mergeCell ref="A829:A830"/>
    <mergeCell ref="A831:A832"/>
    <mergeCell ref="A833:A834"/>
    <mergeCell ref="A835:A836"/>
    <mergeCell ref="A837:A838"/>
    <mergeCell ref="A839:A840"/>
    <mergeCell ref="A841:A842"/>
    <mergeCell ref="A843:A844"/>
    <mergeCell ref="A845:A846"/>
    <mergeCell ref="A847:A848"/>
    <mergeCell ref="A849:A850"/>
    <mergeCell ref="A851:A852"/>
    <mergeCell ref="A853:A854"/>
    <mergeCell ref="A855:A856"/>
    <mergeCell ref="A857:A858"/>
    <mergeCell ref="A859:A860"/>
    <mergeCell ref="A861:A862"/>
    <mergeCell ref="A863:A864"/>
    <mergeCell ref="A865:A866"/>
    <mergeCell ref="A867:A868"/>
    <mergeCell ref="A869:A870"/>
    <mergeCell ref="A871:A872"/>
    <mergeCell ref="A873:A874"/>
    <mergeCell ref="A875:A876"/>
    <mergeCell ref="A877:A878"/>
    <mergeCell ref="A879:A880"/>
    <mergeCell ref="A881:A882"/>
    <mergeCell ref="A883:A884"/>
    <mergeCell ref="A885:A886"/>
    <mergeCell ref="A887:A888"/>
    <mergeCell ref="A889:A890"/>
    <mergeCell ref="A891:A892"/>
    <mergeCell ref="A893:A894"/>
    <mergeCell ref="A895:A896"/>
    <mergeCell ref="A897:A900"/>
    <mergeCell ref="A902:A903"/>
    <mergeCell ref="A904:A905"/>
    <mergeCell ref="A906:A907"/>
    <mergeCell ref="A908:A909"/>
    <mergeCell ref="A910:A912"/>
    <mergeCell ref="A913:A914"/>
    <mergeCell ref="A915:A917"/>
    <mergeCell ref="A918:A919"/>
    <mergeCell ref="A920:A922"/>
    <mergeCell ref="A923:A924"/>
    <mergeCell ref="A925:A926"/>
    <mergeCell ref="A927:A928"/>
    <mergeCell ref="A929:A930"/>
    <mergeCell ref="A931:A932"/>
    <mergeCell ref="A933:A934"/>
    <mergeCell ref="A935:A936"/>
    <mergeCell ref="A937:A938"/>
    <mergeCell ref="A939:A940"/>
    <mergeCell ref="A941:A942"/>
    <mergeCell ref="A943:A944"/>
    <mergeCell ref="A945:A946"/>
    <mergeCell ref="A947:A948"/>
    <mergeCell ref="A949:A950"/>
    <mergeCell ref="A951:A952"/>
    <mergeCell ref="A953:A954"/>
    <mergeCell ref="A955:A956"/>
    <mergeCell ref="A957:A958"/>
    <mergeCell ref="A959:A960"/>
    <mergeCell ref="A961:A962"/>
    <mergeCell ref="A963:A964"/>
    <mergeCell ref="A965:A966"/>
    <mergeCell ref="A967:A968"/>
    <mergeCell ref="A969:A970"/>
    <mergeCell ref="A971:A972"/>
    <mergeCell ref="A973:A974"/>
    <mergeCell ref="A975:A976"/>
    <mergeCell ref="A977:A978"/>
    <mergeCell ref="A979:A980"/>
    <mergeCell ref="A981:A982"/>
    <mergeCell ref="A983:A984"/>
    <mergeCell ref="A985:A986"/>
    <mergeCell ref="A987:A988"/>
    <mergeCell ref="A989:A990"/>
    <mergeCell ref="A991:A992"/>
    <mergeCell ref="A993:A994"/>
    <mergeCell ref="A995:A996"/>
    <mergeCell ref="A997:A998"/>
    <mergeCell ref="A999:A1000"/>
    <mergeCell ref="A1001:A1002"/>
    <mergeCell ref="A1003:A1004"/>
    <mergeCell ref="A1005:A1006"/>
    <mergeCell ref="A1007:A1008"/>
    <mergeCell ref="A1009:A1010"/>
    <mergeCell ref="A1011:A1012"/>
    <mergeCell ref="A1013:A1014"/>
    <mergeCell ref="A1015:A1016"/>
    <mergeCell ref="A1017:A1018"/>
    <mergeCell ref="A1019:A1020"/>
    <mergeCell ref="A1021:A1022"/>
    <mergeCell ref="A1023:A1024"/>
    <mergeCell ref="A1025:A1026"/>
    <mergeCell ref="A1027:A1028"/>
    <mergeCell ref="A1029:A1030"/>
    <mergeCell ref="A1031:A1032"/>
    <mergeCell ref="A1034:A1035"/>
    <mergeCell ref="A1036:A1037"/>
    <mergeCell ref="A1038:A1039"/>
    <mergeCell ref="A1040:A1041"/>
    <mergeCell ref="A1042:A1043"/>
    <mergeCell ref="A1044:A1045"/>
    <mergeCell ref="A1046:A1047"/>
    <mergeCell ref="K5:K6"/>
    <mergeCell ref="K7:K8"/>
    <mergeCell ref="K9:K10"/>
    <mergeCell ref="K11:K12"/>
    <mergeCell ref="K13:K14"/>
    <mergeCell ref="K15:K16"/>
    <mergeCell ref="K17:K18"/>
    <mergeCell ref="K19:K20"/>
    <mergeCell ref="K21:K22"/>
    <mergeCell ref="K23:K24"/>
    <mergeCell ref="K25:K26"/>
    <mergeCell ref="K27:K29"/>
    <mergeCell ref="K30:K32"/>
    <mergeCell ref="K33:K35"/>
    <mergeCell ref="K36:K38"/>
    <mergeCell ref="K39:K40"/>
    <mergeCell ref="K41:K42"/>
    <mergeCell ref="K43:K44"/>
    <mergeCell ref="K45:K46"/>
    <mergeCell ref="K47:K48"/>
    <mergeCell ref="K49:K51"/>
    <mergeCell ref="K52:K54"/>
    <mergeCell ref="K55:K57"/>
    <mergeCell ref="K65:K67"/>
    <mergeCell ref="K68:K70"/>
    <mergeCell ref="K72:K74"/>
    <mergeCell ref="K75:K77"/>
    <mergeCell ref="K78:K79"/>
    <mergeCell ref="K80:K82"/>
    <mergeCell ref="K83:K84"/>
    <mergeCell ref="K85:K87"/>
    <mergeCell ref="K88:K89"/>
    <mergeCell ref="K90:K91"/>
    <mergeCell ref="K93:K94"/>
    <mergeCell ref="K96:K99"/>
    <mergeCell ref="K100:K102"/>
    <mergeCell ref="K103:K105"/>
    <mergeCell ref="K109:K111"/>
    <mergeCell ref="K112:K114"/>
    <mergeCell ref="K116:K117"/>
    <mergeCell ref="K118:K120"/>
    <mergeCell ref="K121:K123"/>
    <mergeCell ref="K124:K125"/>
    <mergeCell ref="K138:K140"/>
    <mergeCell ref="K141:K143"/>
    <mergeCell ref="K144:K145"/>
    <mergeCell ref="K146:K147"/>
    <mergeCell ref="K148:K149"/>
    <mergeCell ref="K150:K151"/>
    <mergeCell ref="K152:K153"/>
    <mergeCell ref="K154:K155"/>
    <mergeCell ref="K156:K157"/>
    <mergeCell ref="K160:K161"/>
    <mergeCell ref="K162:K163"/>
    <mergeCell ref="K164:K165"/>
    <mergeCell ref="K166:K167"/>
    <mergeCell ref="K168:K169"/>
    <mergeCell ref="K172:K173"/>
    <mergeCell ref="K174:K175"/>
    <mergeCell ref="K176:K177"/>
    <mergeCell ref="K178:K179"/>
    <mergeCell ref="K180:K181"/>
  </mergeCells>
  <printOptions horizontalCentered="1"/>
  <pageMargins left="0.471527777777778" right="0.471527777777778" top="0.984027777777778" bottom="0.984027777777778" header="0.511805555555556" footer="0.511805555555556"/>
  <pageSetup paperSize="9" scale="72" orientation="landscape"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1"/>
  <sheetViews>
    <sheetView topLeftCell="A235" workbookViewId="0">
      <selection activeCell="F5" sqref="F5"/>
    </sheetView>
  </sheetViews>
  <sheetFormatPr defaultColWidth="9" defaultRowHeight="18.75" outlineLevelCol="5"/>
  <cols>
    <col min="2" max="2" width="16.5" style="1" customWidth="1"/>
    <col min="3" max="3" width="14.8666666666667" customWidth="1"/>
    <col min="4" max="4" width="12.8666666666667" customWidth="1"/>
    <col min="5" max="5" width="27.1333333333333" style="2" customWidth="1"/>
    <col min="6" max="6" width="35" customWidth="1"/>
  </cols>
  <sheetData>
    <row r="1" ht="22.5" spans="1:6">
      <c r="B1" s="3"/>
      <c r="E1" s="4"/>
    </row>
    <row r="2" spans="1:6">
      <c r="E2" s="5"/>
    </row>
    <row r="3" spans="1:6">
      <c r="B3" s="5"/>
      <c r="E3" s="5"/>
    </row>
    <row r="4" ht="13.5" spans="1:6">
      <c r="B4" s="6" t="s">
        <v>4</v>
      </c>
      <c r="E4" s="6" t="s">
        <v>5</v>
      </c>
    </row>
    <row r="5" ht="13.5" spans="1:6">
      <c r="A5" t="s">
        <v>2322</v>
      </c>
      <c r="B5" s="7">
        <v>250101005</v>
      </c>
      <c r="C5" t="str">
        <f t="shared" ref="C5:C68" si="0">A5&amp;B5</f>
        <v>SYWS250101005</v>
      </c>
      <c r="D5" t="s">
        <v>2323</v>
      </c>
      <c r="E5" s="8" t="s">
        <v>2324</v>
      </c>
      <c r="F5" t="str">
        <f t="shared" ref="F5:F68" si="1">D5&amp;E5</f>
        <v>（省院外送）网织红细胞计数（Ret）</v>
      </c>
    </row>
    <row r="6" ht="13.5" spans="1:6">
      <c r="A6" t="s">
        <v>2322</v>
      </c>
      <c r="B6" s="7">
        <v>250101006</v>
      </c>
      <c r="C6" t="str">
        <f t="shared" si="0"/>
        <v>SYWS250101006</v>
      </c>
      <c r="D6" t="s">
        <v>2323</v>
      </c>
      <c r="E6" s="8" t="s">
        <v>2325</v>
      </c>
      <c r="F6" t="str">
        <f t="shared" si="1"/>
        <v>（省院外送）嗜碱性点彩红细胞计数</v>
      </c>
    </row>
    <row r="7" ht="13.5" spans="1:6">
      <c r="A7" t="s">
        <v>2322</v>
      </c>
      <c r="B7" s="7">
        <v>250101007</v>
      </c>
      <c r="C7" t="str">
        <f t="shared" si="0"/>
        <v>SYWS250101007</v>
      </c>
      <c r="D7" t="s">
        <v>2323</v>
      </c>
      <c r="E7" s="8" t="s">
        <v>2326</v>
      </c>
      <c r="F7" t="str">
        <f t="shared" si="1"/>
        <v>（省院外送）异常红细胞形态检查</v>
      </c>
    </row>
    <row r="8" ht="13.5" spans="1:6">
      <c r="A8" t="s">
        <v>2322</v>
      </c>
      <c r="B8" s="9">
        <v>250101008</v>
      </c>
      <c r="C8" t="str">
        <f t="shared" si="0"/>
        <v>SYWS250101008</v>
      </c>
      <c r="D8" t="s">
        <v>2323</v>
      </c>
      <c r="E8" s="8" t="s">
        <v>2327</v>
      </c>
      <c r="F8" t="str">
        <f t="shared" si="1"/>
        <v>（省院外送）红细胞沉降率测定（ESR）</v>
      </c>
    </row>
    <row r="9" ht="13.5" spans="1:6">
      <c r="A9" t="s">
        <v>2322</v>
      </c>
      <c r="B9" s="7">
        <v>250101021</v>
      </c>
      <c r="C9" t="str">
        <f t="shared" si="0"/>
        <v>SYWS250101021</v>
      </c>
      <c r="D9" t="s">
        <v>2323</v>
      </c>
      <c r="E9" s="8" t="s">
        <v>2328</v>
      </c>
      <c r="F9" t="str">
        <f t="shared" si="1"/>
        <v>（省院外送）有核红细胞计数</v>
      </c>
    </row>
    <row r="10" ht="13.5" spans="1:6">
      <c r="A10" t="s">
        <v>2322</v>
      </c>
      <c r="B10" s="7">
        <v>250102006</v>
      </c>
      <c r="C10" t="str">
        <f t="shared" si="0"/>
        <v>SYWS250102006</v>
      </c>
      <c r="D10" t="s">
        <v>2323</v>
      </c>
      <c r="E10" s="8" t="s">
        <v>2329</v>
      </c>
      <c r="F10" t="str">
        <f t="shared" si="1"/>
        <v>（省院外送）尿蛋白定量</v>
      </c>
    </row>
    <row r="11" ht="13.5" spans="1:6">
      <c r="A11" t="s">
        <v>2322</v>
      </c>
      <c r="B11" s="7">
        <v>250202018</v>
      </c>
      <c r="C11" t="str">
        <f t="shared" si="0"/>
        <v>SYWS250202018</v>
      </c>
      <c r="D11" t="s">
        <v>2323</v>
      </c>
      <c r="E11" s="8" t="s">
        <v>2330</v>
      </c>
      <c r="F11" t="str">
        <f t="shared" si="1"/>
        <v>（省院外送）葡萄糖6-磷酸脱氢酶活性检测</v>
      </c>
    </row>
    <row r="12" ht="13.5" spans="1:6">
      <c r="A12" t="s">
        <v>2322</v>
      </c>
      <c r="B12" s="9">
        <v>250203020</v>
      </c>
      <c r="C12" t="str">
        <f t="shared" si="0"/>
        <v>SYWS250203020</v>
      </c>
      <c r="D12" t="s">
        <v>2323</v>
      </c>
      <c r="E12" s="8" t="s">
        <v>2331</v>
      </c>
      <c r="F12" t="str">
        <f t="shared" si="1"/>
        <v>（省院外送）血浆凝血酶原时间测定（PT）</v>
      </c>
    </row>
    <row r="13" ht="13.5" spans="1:6">
      <c r="A13" t="s">
        <v>2322</v>
      </c>
      <c r="B13" s="9">
        <v>250203025</v>
      </c>
      <c r="C13" t="str">
        <f t="shared" si="0"/>
        <v>SYWS250203025</v>
      </c>
      <c r="D13" t="s">
        <v>2323</v>
      </c>
      <c r="E13" s="8" t="s">
        <v>2332</v>
      </c>
      <c r="F13" t="str">
        <f t="shared" si="1"/>
        <v>（省院外送）活化部分凝血活酶时间测定（APTT）</v>
      </c>
    </row>
    <row r="14" ht="13.5" spans="1:6">
      <c r="A14" t="s">
        <v>2322</v>
      </c>
      <c r="B14" s="9">
        <v>250203030</v>
      </c>
      <c r="C14" t="str">
        <f t="shared" si="0"/>
        <v>SYWS250203030</v>
      </c>
      <c r="D14" t="s">
        <v>2323</v>
      </c>
      <c r="E14" s="8" t="s">
        <v>2333</v>
      </c>
      <c r="F14" t="str">
        <f t="shared" si="1"/>
        <v>（省院外送）血浆纤维蛋白原测定</v>
      </c>
    </row>
    <row r="15" ht="13.5" spans="1:6">
      <c r="A15" t="s">
        <v>2322</v>
      </c>
      <c r="B15" s="9">
        <v>250203035</v>
      </c>
      <c r="C15" t="str">
        <f t="shared" si="0"/>
        <v>SYWS250203035</v>
      </c>
      <c r="D15" t="s">
        <v>2323</v>
      </c>
      <c r="E15" s="8" t="s">
        <v>2334</v>
      </c>
      <c r="F15" t="str">
        <f t="shared" si="1"/>
        <v>（省院外送）凝血酶时间测定（TT）</v>
      </c>
    </row>
    <row r="16" ht="24" spans="1:6">
      <c r="A16" t="s">
        <v>2322</v>
      </c>
      <c r="B16" s="10">
        <v>250203047</v>
      </c>
      <c r="C16" t="str">
        <f t="shared" si="0"/>
        <v>SYWS250203047</v>
      </c>
      <c r="D16" t="s">
        <v>2323</v>
      </c>
      <c r="E16" s="8" t="s">
        <v>2335</v>
      </c>
      <c r="F16" t="str">
        <f t="shared" si="1"/>
        <v>（省院外送）血浆抗凝血酶Ⅲ活性测定（AT—ⅢA）</v>
      </c>
    </row>
    <row r="17" ht="24" spans="1:6">
      <c r="A17" t="s">
        <v>2322</v>
      </c>
      <c r="B17" s="7">
        <v>250203065</v>
      </c>
      <c r="C17" t="str">
        <f t="shared" si="0"/>
        <v>SYWS250203065</v>
      </c>
      <c r="D17" t="s">
        <v>2323</v>
      </c>
      <c r="E17" s="8" t="s">
        <v>2336</v>
      </c>
      <c r="F17" t="str">
        <f t="shared" si="1"/>
        <v>（省院外送）纤维蛋白（原）降解产物测定（FDP）</v>
      </c>
    </row>
    <row r="18" ht="13.5" spans="1:6">
      <c r="A18" t="s">
        <v>2322</v>
      </c>
      <c r="B18" s="7">
        <v>250203066</v>
      </c>
      <c r="C18" t="str">
        <f t="shared" si="0"/>
        <v>SYWS250203066</v>
      </c>
      <c r="D18" t="s">
        <v>2323</v>
      </c>
      <c r="E18" s="8" t="s">
        <v>2337</v>
      </c>
      <c r="F18" t="str">
        <f t="shared" si="1"/>
        <v>（省院外送）血浆D-二聚体测定（D-Dimer）</v>
      </c>
    </row>
    <row r="19" ht="13.5" spans="1:6">
      <c r="A19" t="s">
        <v>2322</v>
      </c>
      <c r="B19" s="7">
        <v>250301001</v>
      </c>
      <c r="C19" t="str">
        <f t="shared" si="0"/>
        <v>SYWS250301001</v>
      </c>
      <c r="D19" t="s">
        <v>2323</v>
      </c>
      <c r="E19" s="8" t="s">
        <v>2338</v>
      </c>
      <c r="F19" t="str">
        <f t="shared" si="1"/>
        <v>（省院外送）血清总蛋白测定</v>
      </c>
    </row>
    <row r="20" ht="13.5" spans="1:6">
      <c r="A20" t="s">
        <v>2322</v>
      </c>
      <c r="B20" s="7">
        <v>250301002</v>
      </c>
      <c r="C20" t="str">
        <f t="shared" si="0"/>
        <v>SYWS250301002</v>
      </c>
      <c r="D20" t="s">
        <v>2323</v>
      </c>
      <c r="E20" s="8" t="s">
        <v>2339</v>
      </c>
      <c r="F20" t="str">
        <f t="shared" si="1"/>
        <v>（省院外送）血清白蛋白测定</v>
      </c>
    </row>
    <row r="21" ht="13.5" spans="1:6">
      <c r="A21" t="s">
        <v>2322</v>
      </c>
      <c r="B21" s="9">
        <v>250301005</v>
      </c>
      <c r="C21" t="str">
        <f t="shared" si="0"/>
        <v>SYWS250301005</v>
      </c>
      <c r="D21" t="s">
        <v>2323</v>
      </c>
      <c r="E21" s="8" t="s">
        <v>2340</v>
      </c>
      <c r="F21" t="str">
        <f t="shared" si="1"/>
        <v>（省院外送）免疫固定电泳</v>
      </c>
    </row>
    <row r="22" ht="13.5" spans="1:6">
      <c r="A22" t="s">
        <v>2322</v>
      </c>
      <c r="B22" s="7">
        <v>250301012</v>
      </c>
      <c r="C22" t="str">
        <f t="shared" si="0"/>
        <v>SYWS250301012</v>
      </c>
      <c r="D22" t="s">
        <v>2323</v>
      </c>
      <c r="E22" s="8" t="s">
        <v>2341</v>
      </c>
      <c r="F22" t="str">
        <f t="shared" si="1"/>
        <v>（省院外送）脑脊液白蛋白测定</v>
      </c>
    </row>
    <row r="23" ht="13.5" spans="1:6">
      <c r="A23" t="s">
        <v>2322</v>
      </c>
      <c r="B23" s="7">
        <v>250301017</v>
      </c>
      <c r="C23" t="str">
        <f t="shared" si="0"/>
        <v>SYWS250301017</v>
      </c>
      <c r="D23" t="s">
        <v>2323</v>
      </c>
      <c r="E23" s="8" t="s">
        <v>2342</v>
      </c>
      <c r="F23" t="str">
        <f t="shared" si="1"/>
        <v>（省院外送）超敏C反应蛋白测定</v>
      </c>
    </row>
    <row r="24" ht="13.5" spans="1:6">
      <c r="A24" t="s">
        <v>2322</v>
      </c>
      <c r="B24" s="7">
        <v>250302001</v>
      </c>
      <c r="C24" t="str">
        <f t="shared" si="0"/>
        <v>SYWS250302001</v>
      </c>
      <c r="D24" t="s">
        <v>2323</v>
      </c>
      <c r="E24" s="8" t="s">
        <v>2343</v>
      </c>
      <c r="F24" t="str">
        <f t="shared" si="1"/>
        <v>（省院外送）葡萄糖测定</v>
      </c>
    </row>
    <row r="25" ht="13.5" spans="1:6">
      <c r="A25" t="s">
        <v>2322</v>
      </c>
      <c r="B25" s="7">
        <v>250302003</v>
      </c>
      <c r="C25" t="str">
        <f t="shared" si="0"/>
        <v>SYWS250302003</v>
      </c>
      <c r="D25" t="s">
        <v>2323</v>
      </c>
      <c r="E25" s="8" t="s">
        <v>2344</v>
      </c>
      <c r="F25" t="str">
        <f t="shared" si="1"/>
        <v>（省院外送）糖化血红蛋白测定</v>
      </c>
    </row>
    <row r="26" ht="13.5" spans="1:6">
      <c r="A26" t="s">
        <v>2322</v>
      </c>
      <c r="B26" s="11">
        <v>250302010</v>
      </c>
      <c r="C26" t="str">
        <f t="shared" si="0"/>
        <v>SYWS250302010</v>
      </c>
      <c r="D26" t="s">
        <v>2323</v>
      </c>
      <c r="E26" s="8" t="s">
        <v>2345</v>
      </c>
      <c r="F26" t="str">
        <f t="shared" si="1"/>
        <v>（省院外送）多种代谢疾病检测</v>
      </c>
    </row>
    <row r="27" ht="13.5" spans="1:6">
      <c r="A27" t="s">
        <v>2322</v>
      </c>
      <c r="B27" s="7">
        <v>250303001</v>
      </c>
      <c r="C27" t="str">
        <f t="shared" si="0"/>
        <v>SYWS250303001</v>
      </c>
      <c r="D27" t="s">
        <v>2323</v>
      </c>
      <c r="E27" s="8" t="s">
        <v>2346</v>
      </c>
      <c r="F27" t="str">
        <f t="shared" si="1"/>
        <v>（省院外送）血清总胆固醇测定</v>
      </c>
    </row>
    <row r="28" ht="13.5" spans="1:6">
      <c r="A28" t="s">
        <v>2322</v>
      </c>
      <c r="B28" s="7">
        <v>250303002</v>
      </c>
      <c r="C28" t="str">
        <f t="shared" si="0"/>
        <v>SYWS250303002</v>
      </c>
      <c r="D28" t="s">
        <v>2323</v>
      </c>
      <c r="E28" s="8" t="s">
        <v>2347</v>
      </c>
      <c r="F28" t="str">
        <f t="shared" si="1"/>
        <v>（省院外送）血清甘油三酯测定</v>
      </c>
    </row>
    <row r="29" ht="13.5" spans="1:6">
      <c r="A29" t="s">
        <v>2322</v>
      </c>
      <c r="B29" s="7">
        <v>250303004</v>
      </c>
      <c r="C29" t="str">
        <f t="shared" si="0"/>
        <v>SYWS250303004</v>
      </c>
      <c r="D29" t="s">
        <v>2323</v>
      </c>
      <c r="E29" s="8" t="s">
        <v>2348</v>
      </c>
      <c r="F29" t="str">
        <f t="shared" si="1"/>
        <v>（省院外送）血清高密度脂蛋白胆固醇测定</v>
      </c>
    </row>
    <row r="30" ht="13.5" spans="1:6">
      <c r="A30" t="s">
        <v>2322</v>
      </c>
      <c r="B30" s="7">
        <v>250303005</v>
      </c>
      <c r="C30" t="str">
        <f t="shared" si="0"/>
        <v>SYWS250303005</v>
      </c>
      <c r="D30" t="s">
        <v>2323</v>
      </c>
      <c r="E30" s="8" t="s">
        <v>2349</v>
      </c>
      <c r="F30" t="str">
        <f t="shared" si="1"/>
        <v>（省院外送）血清低密度脂蛋白胆固醇测定</v>
      </c>
    </row>
    <row r="31" ht="13.5" spans="1:6">
      <c r="A31" t="s">
        <v>2322</v>
      </c>
      <c r="B31" s="7">
        <v>250303007</v>
      </c>
      <c r="C31" t="str">
        <f t="shared" si="0"/>
        <v>SYWS250303007</v>
      </c>
      <c r="D31" t="s">
        <v>2323</v>
      </c>
      <c r="E31" s="8" t="s">
        <v>2350</v>
      </c>
      <c r="F31" t="str">
        <f t="shared" si="1"/>
        <v>（省院外送）血清载脂蛋白AⅠ测定</v>
      </c>
    </row>
    <row r="32" ht="13.5" spans="1:6">
      <c r="A32" t="s">
        <v>2322</v>
      </c>
      <c r="B32" s="7">
        <v>250303009</v>
      </c>
      <c r="C32" t="str">
        <f t="shared" si="0"/>
        <v>SYWS250303009</v>
      </c>
      <c r="D32" t="s">
        <v>2323</v>
      </c>
      <c r="E32" s="8" t="s">
        <v>2351</v>
      </c>
      <c r="F32" t="str">
        <f t="shared" si="1"/>
        <v>（省院外送）血清载脂蛋白B测定</v>
      </c>
    </row>
    <row r="33" ht="13.5" spans="1:6">
      <c r="A33" t="s">
        <v>2322</v>
      </c>
      <c r="B33" s="7">
        <v>250304001</v>
      </c>
      <c r="C33" t="str">
        <f t="shared" si="0"/>
        <v>SYWS250304001</v>
      </c>
      <c r="D33" t="s">
        <v>2323</v>
      </c>
      <c r="E33" s="8" t="s">
        <v>2352</v>
      </c>
      <c r="F33" t="str">
        <f t="shared" si="1"/>
        <v>（省院外送）钾测定</v>
      </c>
    </row>
    <row r="34" ht="13.5" spans="1:6">
      <c r="A34" t="s">
        <v>2322</v>
      </c>
      <c r="B34" s="7">
        <v>250304002</v>
      </c>
      <c r="C34" t="str">
        <f t="shared" si="0"/>
        <v>SYWS250304002</v>
      </c>
      <c r="D34" t="s">
        <v>2323</v>
      </c>
      <c r="E34" s="8" t="s">
        <v>2353</v>
      </c>
      <c r="F34" t="str">
        <f t="shared" si="1"/>
        <v>（省院外送）钠测定</v>
      </c>
    </row>
    <row r="35" ht="13.5" spans="1:6">
      <c r="A35" t="s">
        <v>2322</v>
      </c>
      <c r="B35" s="7">
        <v>250304003</v>
      </c>
      <c r="C35" t="str">
        <f t="shared" si="0"/>
        <v>SYWS250304003</v>
      </c>
      <c r="D35" t="s">
        <v>2323</v>
      </c>
      <c r="E35" s="8" t="s">
        <v>2354</v>
      </c>
      <c r="F35" t="str">
        <f t="shared" si="1"/>
        <v>（省院外送）氯测定</v>
      </c>
    </row>
    <row r="36" ht="13.5" spans="1:6">
      <c r="A36" t="s">
        <v>2322</v>
      </c>
      <c r="B36" s="7">
        <v>250304008</v>
      </c>
      <c r="C36" t="str">
        <f t="shared" si="0"/>
        <v>SYWS250304008</v>
      </c>
      <c r="D36" t="s">
        <v>2323</v>
      </c>
      <c r="E36" s="8" t="s">
        <v>2355</v>
      </c>
      <c r="F36" t="str">
        <f t="shared" si="1"/>
        <v>（省院外送）血清总铁结合力测定</v>
      </c>
    </row>
    <row r="37" ht="13.5" spans="1:6">
      <c r="A37" t="s">
        <v>2322</v>
      </c>
      <c r="B37" s="7">
        <v>250305001</v>
      </c>
      <c r="C37" t="str">
        <f t="shared" si="0"/>
        <v>SYWS250305001</v>
      </c>
      <c r="D37" t="s">
        <v>2323</v>
      </c>
      <c r="E37" s="8" t="s">
        <v>2356</v>
      </c>
      <c r="F37" t="str">
        <f t="shared" si="1"/>
        <v>（省院外送）血清总胆红素测定</v>
      </c>
    </row>
    <row r="38" ht="13.5" spans="1:6">
      <c r="A38" t="s">
        <v>2322</v>
      </c>
      <c r="B38" s="7">
        <v>250305002</v>
      </c>
      <c r="C38" t="str">
        <f t="shared" si="0"/>
        <v>SYWS250305002</v>
      </c>
      <c r="D38" t="s">
        <v>2323</v>
      </c>
      <c r="E38" s="8" t="s">
        <v>2357</v>
      </c>
      <c r="F38" t="str">
        <f t="shared" si="1"/>
        <v>（省院外送）血清直接胆红素测定</v>
      </c>
    </row>
    <row r="39" ht="13.5" spans="1:6">
      <c r="A39" t="s">
        <v>2322</v>
      </c>
      <c r="B39" s="7">
        <v>250305005</v>
      </c>
      <c r="C39" t="str">
        <f t="shared" si="0"/>
        <v>SYWS250305005</v>
      </c>
      <c r="D39" t="s">
        <v>2323</v>
      </c>
      <c r="E39" s="8" t="s">
        <v>2358</v>
      </c>
      <c r="F39" t="str">
        <f t="shared" si="1"/>
        <v>（省院外送）血清总胆汁酸测定</v>
      </c>
    </row>
    <row r="40" ht="13.5" spans="1:6">
      <c r="A40" t="s">
        <v>2322</v>
      </c>
      <c r="B40" s="7">
        <v>250305007</v>
      </c>
      <c r="C40" t="str">
        <f t="shared" si="0"/>
        <v>SYWS250305007</v>
      </c>
      <c r="D40" t="s">
        <v>2323</v>
      </c>
      <c r="E40" s="8" t="s">
        <v>2359</v>
      </c>
      <c r="F40" t="str">
        <f t="shared" si="1"/>
        <v>（省院外送）血清丙氨酸氨基转移酶测定</v>
      </c>
    </row>
    <row r="41" ht="13.5" spans="1:6">
      <c r="A41" t="s">
        <v>2322</v>
      </c>
      <c r="B41" s="7">
        <v>250305008</v>
      </c>
      <c r="C41" t="str">
        <f t="shared" si="0"/>
        <v>SYWS250305008</v>
      </c>
      <c r="D41" t="s">
        <v>2323</v>
      </c>
      <c r="E41" s="8" t="s">
        <v>2360</v>
      </c>
      <c r="F41" t="str">
        <f t="shared" si="1"/>
        <v>（省院外送）血清天门冬氨酸氨基转移酶测定</v>
      </c>
    </row>
    <row r="42" ht="13.5" spans="1:6">
      <c r="A42" t="s">
        <v>2322</v>
      </c>
      <c r="B42" s="7">
        <v>250305009</v>
      </c>
      <c r="C42" t="str">
        <f t="shared" si="0"/>
        <v>SYWS250305009</v>
      </c>
      <c r="D42" t="s">
        <v>2323</v>
      </c>
      <c r="E42" s="8" t="s">
        <v>2361</v>
      </c>
      <c r="F42" t="str">
        <f t="shared" si="1"/>
        <v>（省院外送）血清γ-谷氨酰基转移酶测定</v>
      </c>
    </row>
    <row r="43" ht="13.5" spans="1:6">
      <c r="A43" t="s">
        <v>2322</v>
      </c>
      <c r="B43" s="7">
        <v>250305011</v>
      </c>
      <c r="C43" t="str">
        <f t="shared" si="0"/>
        <v>SYWS250305011</v>
      </c>
      <c r="D43" t="s">
        <v>2323</v>
      </c>
      <c r="E43" s="8" t="s">
        <v>2362</v>
      </c>
      <c r="F43" t="str">
        <f t="shared" si="1"/>
        <v>（省院外送）血清碱性磷酸酶测定</v>
      </c>
    </row>
    <row r="44" ht="13.5" spans="1:6">
      <c r="A44" t="s">
        <v>2322</v>
      </c>
      <c r="B44" s="7">
        <v>250305013</v>
      </c>
      <c r="C44" t="str">
        <f t="shared" si="0"/>
        <v>SYWS250305013</v>
      </c>
      <c r="D44" t="s">
        <v>2323</v>
      </c>
      <c r="E44" s="8" t="s">
        <v>2363</v>
      </c>
      <c r="F44" t="str">
        <f t="shared" si="1"/>
        <v>（省院外送）血清骨型碱性磷酸酶质量测定</v>
      </c>
    </row>
    <row r="45" ht="13.5" spans="1:6">
      <c r="A45" t="s">
        <v>2322</v>
      </c>
      <c r="B45" s="7">
        <v>250305014</v>
      </c>
      <c r="C45" t="str">
        <f t="shared" si="0"/>
        <v>SYWS250305014</v>
      </c>
      <c r="D45" t="s">
        <v>2323</v>
      </c>
      <c r="E45" s="8" t="s">
        <v>2364</v>
      </c>
      <c r="F45" t="str">
        <f t="shared" si="1"/>
        <v>（省院外送）血清胆碱脂酶测定</v>
      </c>
    </row>
    <row r="46" ht="13.5" spans="1:6">
      <c r="A46" t="s">
        <v>2322</v>
      </c>
      <c r="B46" s="7">
        <v>250305016</v>
      </c>
      <c r="C46" t="str">
        <f t="shared" si="0"/>
        <v>SYWS250305016</v>
      </c>
      <c r="D46" t="s">
        <v>2323</v>
      </c>
      <c r="E46" s="8" t="s">
        <v>2365</v>
      </c>
      <c r="F46" t="str">
        <f t="shared" si="1"/>
        <v>（省院外送）血清5′核苷酸酶测定</v>
      </c>
    </row>
    <row r="47" ht="13.5" spans="1:6">
      <c r="A47" t="s">
        <v>2322</v>
      </c>
      <c r="B47" s="7">
        <v>250305023</v>
      </c>
      <c r="C47" t="str">
        <f t="shared" si="0"/>
        <v>SYWS250305023</v>
      </c>
      <c r="D47" t="s">
        <v>2323</v>
      </c>
      <c r="E47" s="8" t="s">
        <v>2366</v>
      </c>
      <c r="F47" t="str">
        <f t="shared" si="1"/>
        <v>（省院外送）腺苷脱氨酶测定</v>
      </c>
    </row>
    <row r="48" ht="13.5" spans="1:6">
      <c r="A48" t="s">
        <v>2322</v>
      </c>
      <c r="B48" s="7">
        <v>250306003</v>
      </c>
      <c r="C48" t="str">
        <f t="shared" si="0"/>
        <v>SYWS250306003</v>
      </c>
      <c r="D48" t="s">
        <v>2323</v>
      </c>
      <c r="E48" s="8" t="s">
        <v>2367</v>
      </c>
      <c r="F48" t="str">
        <f t="shared" si="1"/>
        <v>（省院外送）血清肌酸激酶-MB同工酶质量测定</v>
      </c>
    </row>
    <row r="49" ht="13.5" spans="1:6">
      <c r="A49" t="s">
        <v>2322</v>
      </c>
      <c r="B49" s="7">
        <v>250306005</v>
      </c>
      <c r="C49" t="str">
        <f t="shared" si="0"/>
        <v>SYWS250306005</v>
      </c>
      <c r="D49" t="s">
        <v>2323</v>
      </c>
      <c r="E49" s="8" t="s">
        <v>2368</v>
      </c>
      <c r="F49" t="str">
        <f t="shared" si="1"/>
        <v>（省院外送）乳酸脱氢酶测定</v>
      </c>
    </row>
    <row r="50" ht="13.5" spans="1:6">
      <c r="A50" t="s">
        <v>2322</v>
      </c>
      <c r="B50" s="7">
        <v>250306007</v>
      </c>
      <c r="C50" t="str">
        <f t="shared" si="0"/>
        <v>SYWS250306007</v>
      </c>
      <c r="D50" t="s">
        <v>2323</v>
      </c>
      <c r="E50" s="8" t="s">
        <v>2369</v>
      </c>
      <c r="F50" t="str">
        <f t="shared" si="1"/>
        <v>（省院外送）血清α羟基丁酸脱氢酶测定</v>
      </c>
    </row>
    <row r="51" ht="13.5" spans="1:6">
      <c r="A51" t="s">
        <v>2322</v>
      </c>
      <c r="B51" s="7">
        <v>250306008</v>
      </c>
      <c r="C51" t="str">
        <f t="shared" si="0"/>
        <v>SYWS250306008</v>
      </c>
      <c r="D51" t="s">
        <v>2323</v>
      </c>
      <c r="E51" s="8" t="s">
        <v>2370</v>
      </c>
      <c r="F51" t="str">
        <f t="shared" si="1"/>
        <v>（省院外送）血清肌钙蛋白T测定</v>
      </c>
    </row>
    <row r="52" ht="13.5" spans="1:6">
      <c r="A52" t="s">
        <v>2322</v>
      </c>
      <c r="B52" s="9">
        <v>250306010</v>
      </c>
      <c r="C52" t="str">
        <f t="shared" si="0"/>
        <v>SYWS250306010</v>
      </c>
      <c r="D52" t="s">
        <v>2323</v>
      </c>
      <c r="E52" s="8" t="s">
        <v>2371</v>
      </c>
      <c r="F52" t="str">
        <f t="shared" si="1"/>
        <v>（省院外送）血清肌红蛋白测定</v>
      </c>
    </row>
    <row r="53" ht="13.5" spans="1:6">
      <c r="A53" t="s">
        <v>2322</v>
      </c>
      <c r="B53" s="7">
        <v>250306012</v>
      </c>
      <c r="C53" t="str">
        <f t="shared" si="0"/>
        <v>SYWS250306012</v>
      </c>
      <c r="D53" t="s">
        <v>2323</v>
      </c>
      <c r="E53" s="8" t="s">
        <v>2372</v>
      </c>
      <c r="F53" t="str">
        <f t="shared" si="1"/>
        <v>（省院外送）B型钠尿肽（BNP）测定</v>
      </c>
    </row>
    <row r="54" ht="13.5" spans="1:6">
      <c r="A54" t="s">
        <v>2322</v>
      </c>
      <c r="B54" s="7">
        <v>250306013</v>
      </c>
      <c r="C54" t="str">
        <f t="shared" si="0"/>
        <v>SYWS250306013</v>
      </c>
      <c r="D54" t="s">
        <v>2323</v>
      </c>
      <c r="E54" s="8" t="s">
        <v>2373</v>
      </c>
      <c r="F54" t="str">
        <f t="shared" si="1"/>
        <v>（省院外送）B型钠尿肽前体（PRO-BNP）测定</v>
      </c>
    </row>
    <row r="55" ht="13.5" spans="1:6">
      <c r="A55" t="s">
        <v>2322</v>
      </c>
      <c r="B55" s="7">
        <v>250307001</v>
      </c>
      <c r="C55" t="str">
        <f t="shared" si="0"/>
        <v>SYWS250307001</v>
      </c>
      <c r="D55" t="s">
        <v>2323</v>
      </c>
      <c r="E55" s="8" t="s">
        <v>2374</v>
      </c>
      <c r="F55" t="str">
        <f t="shared" si="1"/>
        <v>（省院外送）尿素测定</v>
      </c>
    </row>
    <row r="56" ht="13.5" spans="1:6">
      <c r="A56" t="s">
        <v>2322</v>
      </c>
      <c r="B56" s="7">
        <v>250307002</v>
      </c>
      <c r="C56" t="str">
        <f t="shared" si="0"/>
        <v>SYWS250307002</v>
      </c>
      <c r="D56" t="s">
        <v>2323</v>
      </c>
      <c r="E56" s="8" t="s">
        <v>2375</v>
      </c>
      <c r="F56" t="str">
        <f t="shared" si="1"/>
        <v>（省院外送）肌酐测定</v>
      </c>
    </row>
    <row r="57" ht="13.5" spans="1:6">
      <c r="A57" t="s">
        <v>2322</v>
      </c>
      <c r="B57" s="7">
        <v>250307005</v>
      </c>
      <c r="C57" t="str">
        <f t="shared" si="0"/>
        <v>SYWS250307005</v>
      </c>
      <c r="D57" t="s">
        <v>2323</v>
      </c>
      <c r="E57" s="8" t="s">
        <v>2376</v>
      </c>
      <c r="F57" t="str">
        <f t="shared" si="1"/>
        <v>（省院外送）血清尿酸测定</v>
      </c>
    </row>
    <row r="58" ht="13.5" spans="1:6">
      <c r="A58" t="s">
        <v>2322</v>
      </c>
      <c r="B58" s="7">
        <v>250307006</v>
      </c>
      <c r="C58" t="str">
        <f t="shared" si="0"/>
        <v>SYWS250307006</v>
      </c>
      <c r="D58" t="s">
        <v>2323</v>
      </c>
      <c r="E58" s="8" t="s">
        <v>2377</v>
      </c>
      <c r="F58" t="str">
        <f t="shared" si="1"/>
        <v>（省院外送）尿微量白蛋白测定</v>
      </c>
    </row>
    <row r="59" ht="13.5" spans="1:6">
      <c r="A59" t="s">
        <v>2322</v>
      </c>
      <c r="B59" s="7">
        <v>250307007</v>
      </c>
      <c r="C59" t="str">
        <f t="shared" si="0"/>
        <v>SYWS250307007</v>
      </c>
      <c r="D59" t="s">
        <v>2323</v>
      </c>
      <c r="E59" s="8" t="s">
        <v>2378</v>
      </c>
      <c r="F59" t="str">
        <f t="shared" si="1"/>
        <v>（省院外送）尿转铁蛋白测定</v>
      </c>
    </row>
    <row r="60" ht="13.5" spans="1:6">
      <c r="A60" t="s">
        <v>2322</v>
      </c>
      <c r="B60" s="7">
        <v>250307011</v>
      </c>
      <c r="C60" t="str">
        <f t="shared" si="0"/>
        <v>SYWS250307011</v>
      </c>
      <c r="D60" t="s">
        <v>2323</v>
      </c>
      <c r="E60" s="8" t="s">
        <v>2379</v>
      </c>
      <c r="F60" t="str">
        <f t="shared" si="1"/>
        <v>（省院外送）尿N-酰-β-D-氨基葡萄糖苷酶测定</v>
      </c>
    </row>
    <row r="61" ht="13.5" spans="1:6">
      <c r="A61" t="s">
        <v>2322</v>
      </c>
      <c r="B61" s="7">
        <v>250307028</v>
      </c>
      <c r="C61" t="str">
        <f t="shared" si="0"/>
        <v>SYWS250307028</v>
      </c>
      <c r="D61" t="s">
        <v>2323</v>
      </c>
      <c r="E61" s="8" t="s">
        <v>2380</v>
      </c>
      <c r="F61" t="str">
        <f t="shared" si="1"/>
        <v>（省院外送）血清胱抑素（CystatinC）测定</v>
      </c>
    </row>
    <row r="62" ht="13.5" spans="1:6">
      <c r="A62" t="s">
        <v>2322</v>
      </c>
      <c r="B62" s="12">
        <v>250309003</v>
      </c>
      <c r="C62" t="str">
        <f t="shared" si="0"/>
        <v>SYWS250309003</v>
      </c>
      <c r="D62" t="s">
        <v>2323</v>
      </c>
      <c r="E62" s="8" t="s">
        <v>2381</v>
      </c>
      <c r="F62" t="str">
        <f t="shared" si="1"/>
        <v>（省院外送）叶酸测定</v>
      </c>
    </row>
    <row r="63" ht="13.5" spans="1:6">
      <c r="A63" t="s">
        <v>2322</v>
      </c>
      <c r="B63" s="9">
        <v>250310001</v>
      </c>
      <c r="C63" t="str">
        <f t="shared" si="0"/>
        <v>SYWS250310001</v>
      </c>
      <c r="D63" t="s">
        <v>2323</v>
      </c>
      <c r="E63" s="8" t="s">
        <v>2382</v>
      </c>
      <c r="F63" t="str">
        <f t="shared" si="1"/>
        <v>（省院外送）血清促甲状腺激素测定</v>
      </c>
    </row>
    <row r="64" ht="13.5" spans="1:6">
      <c r="A64" t="s">
        <v>2322</v>
      </c>
      <c r="B64" s="9">
        <v>250310002</v>
      </c>
      <c r="C64" t="str">
        <f t="shared" si="0"/>
        <v>SYWS250310002</v>
      </c>
      <c r="D64" t="s">
        <v>2323</v>
      </c>
      <c r="E64" s="8" t="s">
        <v>2383</v>
      </c>
      <c r="F64" t="str">
        <f t="shared" si="1"/>
        <v>（省院外送）血清泌乳素测定</v>
      </c>
    </row>
    <row r="65" ht="13.5" spans="1:6">
      <c r="A65" t="s">
        <v>2322</v>
      </c>
      <c r="B65" s="9">
        <v>250310004</v>
      </c>
      <c r="C65" t="str">
        <f t="shared" si="0"/>
        <v>SYWS250310004</v>
      </c>
      <c r="D65" t="s">
        <v>2323</v>
      </c>
      <c r="E65" s="8" t="s">
        <v>2384</v>
      </c>
      <c r="F65" t="str">
        <f t="shared" si="1"/>
        <v>（省院外送）血清促卵泡刺激素测定</v>
      </c>
    </row>
    <row r="66" ht="13.5" spans="1:6">
      <c r="A66" t="s">
        <v>2322</v>
      </c>
      <c r="B66" s="9">
        <v>250310006</v>
      </c>
      <c r="C66" t="str">
        <f t="shared" si="0"/>
        <v>SYWS250310006</v>
      </c>
      <c r="D66" t="s">
        <v>2323</v>
      </c>
      <c r="E66" s="8" t="s">
        <v>2385</v>
      </c>
      <c r="F66" t="str">
        <f t="shared" si="1"/>
        <v>（省院外送）血清促肾上腺皮质激素测定</v>
      </c>
    </row>
    <row r="67" ht="13.5" spans="1:6">
      <c r="A67" t="s">
        <v>2322</v>
      </c>
      <c r="B67" s="9">
        <v>250310009</v>
      </c>
      <c r="C67" t="str">
        <f t="shared" si="0"/>
        <v>SYWS250310009</v>
      </c>
      <c r="D67" t="s">
        <v>2323</v>
      </c>
      <c r="E67" s="8" t="s">
        <v>2386</v>
      </c>
      <c r="F67" t="str">
        <f t="shared" si="1"/>
        <v>（省院外送）甲状旁腺激素测定</v>
      </c>
    </row>
    <row r="68" ht="13.5" spans="1:6">
      <c r="A68" t="s">
        <v>2322</v>
      </c>
      <c r="B68" s="9">
        <v>250310010</v>
      </c>
      <c r="C68" t="str">
        <f t="shared" si="0"/>
        <v>SYWS250310010</v>
      </c>
      <c r="D68" t="s">
        <v>2323</v>
      </c>
      <c r="E68" s="8" t="s">
        <v>2387</v>
      </c>
      <c r="F68" t="str">
        <f t="shared" si="1"/>
        <v>（省院外送）血清甲状腺素（T4）测定</v>
      </c>
    </row>
    <row r="69" ht="13.5" spans="1:6">
      <c r="A69" t="s">
        <v>2322</v>
      </c>
      <c r="B69" s="9">
        <v>250310011</v>
      </c>
      <c r="C69" t="str">
        <f t="shared" ref="C69:C132" si="2">A69&amp;B69</f>
        <v>SYWS250310011</v>
      </c>
      <c r="D69" t="s">
        <v>2323</v>
      </c>
      <c r="E69" s="8" t="s">
        <v>2388</v>
      </c>
      <c r="F69" t="str">
        <f t="shared" ref="F69:F132" si="3">D69&amp;E69</f>
        <v>（省院外送）血清三碘甲状原氨酸（T3）测定</v>
      </c>
    </row>
    <row r="70" ht="13.5" spans="1:6">
      <c r="A70" t="s">
        <v>2322</v>
      </c>
      <c r="B70" s="9">
        <v>250310013</v>
      </c>
      <c r="C70" t="str">
        <f t="shared" si="2"/>
        <v>SYWS250310013</v>
      </c>
      <c r="D70" t="s">
        <v>2323</v>
      </c>
      <c r="E70" s="8" t="s">
        <v>2389</v>
      </c>
      <c r="F70" t="str">
        <f t="shared" si="3"/>
        <v>（省院外送）血清游离甲状腺素（FT4）测定</v>
      </c>
    </row>
    <row r="71" ht="24" spans="1:6">
      <c r="A71" t="s">
        <v>2322</v>
      </c>
      <c r="B71" s="9">
        <v>250310014</v>
      </c>
      <c r="C71" t="str">
        <f t="shared" si="2"/>
        <v>SYWS250310014</v>
      </c>
      <c r="D71" t="s">
        <v>2323</v>
      </c>
      <c r="E71" s="8" t="s">
        <v>2390</v>
      </c>
      <c r="F71" t="str">
        <f t="shared" si="3"/>
        <v>（省院外送）血清游离三碘甲状原氨酸（FT3）测定</v>
      </c>
    </row>
    <row r="72" ht="13.5" spans="1:6">
      <c r="A72" t="s">
        <v>2322</v>
      </c>
      <c r="B72" s="9">
        <v>250310018</v>
      </c>
      <c r="C72" t="str">
        <f t="shared" si="2"/>
        <v>SYWS250310018</v>
      </c>
      <c r="D72" t="s">
        <v>2323</v>
      </c>
      <c r="E72" s="8" t="s">
        <v>2391</v>
      </c>
      <c r="F72" t="str">
        <f t="shared" si="3"/>
        <v>（省院外送）血浆皮质醇测定</v>
      </c>
    </row>
    <row r="73" ht="13.5" spans="1:6">
      <c r="A73" t="s">
        <v>2322</v>
      </c>
      <c r="B73" s="9">
        <v>250310023</v>
      </c>
      <c r="C73" t="str">
        <f t="shared" si="2"/>
        <v>SYWS250310023</v>
      </c>
      <c r="D73" t="s">
        <v>2323</v>
      </c>
      <c r="E73" s="8" t="s">
        <v>2392</v>
      </c>
      <c r="F73" t="str">
        <f t="shared" si="3"/>
        <v>（省院外送）醛固酮测定</v>
      </c>
    </row>
    <row r="74" ht="13.5" spans="1:6">
      <c r="A74" t="s">
        <v>2322</v>
      </c>
      <c r="B74" s="9">
        <v>250310024</v>
      </c>
      <c r="C74" t="str">
        <f t="shared" si="2"/>
        <v>SYWS250310024</v>
      </c>
      <c r="D74" t="s">
        <v>2323</v>
      </c>
      <c r="E74" s="8" t="s">
        <v>2393</v>
      </c>
      <c r="F74" t="str">
        <f t="shared" si="3"/>
        <v>（省院外送）尿儿茶酚胺测定</v>
      </c>
    </row>
    <row r="75" ht="13.5" spans="1:6">
      <c r="A75" t="s">
        <v>2322</v>
      </c>
      <c r="B75" s="9">
        <v>250310026</v>
      </c>
      <c r="C75" t="str">
        <f t="shared" si="2"/>
        <v>SYWS250310026</v>
      </c>
      <c r="D75" t="s">
        <v>2323</v>
      </c>
      <c r="E75" s="8" t="s">
        <v>2394</v>
      </c>
      <c r="F75" t="str">
        <f t="shared" si="3"/>
        <v>（省院外送）血浆肾素活性测定</v>
      </c>
    </row>
    <row r="76" ht="13.5" spans="1:6">
      <c r="A76" t="s">
        <v>2322</v>
      </c>
      <c r="B76" s="9">
        <v>250310030</v>
      </c>
      <c r="C76" t="str">
        <f t="shared" si="2"/>
        <v>SYWS250310030</v>
      </c>
      <c r="D76" t="s">
        <v>2323</v>
      </c>
      <c r="E76" s="8" t="s">
        <v>2395</v>
      </c>
      <c r="F76" t="str">
        <f t="shared" si="3"/>
        <v>（省院外送）睾酮测定</v>
      </c>
    </row>
    <row r="77" ht="13.5" spans="1:6">
      <c r="A77" t="s">
        <v>2322</v>
      </c>
      <c r="B77" s="9">
        <v>250310031</v>
      </c>
      <c r="C77" t="str">
        <f t="shared" si="2"/>
        <v>SYWS250310031</v>
      </c>
      <c r="D77" t="s">
        <v>2323</v>
      </c>
      <c r="E77" s="8" t="s">
        <v>2396</v>
      </c>
      <c r="F77" t="str">
        <f t="shared" si="3"/>
        <v>（省院外送）血清双氢睾酮测定</v>
      </c>
    </row>
    <row r="78" ht="13.5" spans="1:6">
      <c r="A78" t="s">
        <v>2322</v>
      </c>
      <c r="B78" s="9">
        <v>250310032</v>
      </c>
      <c r="C78" t="str">
        <f t="shared" si="2"/>
        <v>SYWS250310032</v>
      </c>
      <c r="D78" t="s">
        <v>2323</v>
      </c>
      <c r="E78" s="8" t="s">
        <v>2397</v>
      </c>
      <c r="F78" t="str">
        <f t="shared" si="3"/>
        <v>（省院外送）雄烯二酮测定</v>
      </c>
    </row>
    <row r="79" ht="13.5" spans="1:6">
      <c r="A79" t="s">
        <v>2322</v>
      </c>
      <c r="B79" s="9">
        <v>250310033</v>
      </c>
      <c r="C79" t="str">
        <f t="shared" si="2"/>
        <v>SYWS250310033</v>
      </c>
      <c r="D79" t="s">
        <v>2323</v>
      </c>
      <c r="E79" s="8" t="s">
        <v>2398</v>
      </c>
      <c r="F79" t="str">
        <f t="shared" si="3"/>
        <v>（省院外送）17α羟孕酮测定</v>
      </c>
    </row>
    <row r="80" ht="13.5" spans="1:6">
      <c r="A80" t="s">
        <v>2322</v>
      </c>
      <c r="B80" s="9">
        <v>250310034</v>
      </c>
      <c r="C80" t="str">
        <f t="shared" si="2"/>
        <v>SYWS250310034</v>
      </c>
      <c r="D80" t="s">
        <v>2323</v>
      </c>
      <c r="E80" s="8" t="s">
        <v>2399</v>
      </c>
      <c r="F80" t="str">
        <f t="shared" si="3"/>
        <v>（省院外送）雌酮测定</v>
      </c>
    </row>
    <row r="81" ht="13.5" spans="1:6">
      <c r="A81" t="s">
        <v>2322</v>
      </c>
      <c r="B81" s="9">
        <v>250310035</v>
      </c>
      <c r="C81" t="str">
        <f t="shared" si="2"/>
        <v>SYWS250310035</v>
      </c>
      <c r="D81" t="s">
        <v>2323</v>
      </c>
      <c r="E81" s="8" t="s">
        <v>2400</v>
      </c>
      <c r="F81" t="str">
        <f t="shared" si="3"/>
        <v>（省院外送）雌三醇测定</v>
      </c>
    </row>
    <row r="82" ht="13.5" spans="1:6">
      <c r="A82" t="s">
        <v>2322</v>
      </c>
      <c r="B82" s="9">
        <v>250310036</v>
      </c>
      <c r="C82" t="str">
        <f t="shared" si="2"/>
        <v>SYWS250310036</v>
      </c>
      <c r="D82" t="s">
        <v>2323</v>
      </c>
      <c r="E82" s="8" t="s">
        <v>2401</v>
      </c>
      <c r="F82" t="str">
        <f t="shared" si="3"/>
        <v>（省院外送）雌二醇测定</v>
      </c>
    </row>
    <row r="83" ht="13.5" spans="1:6">
      <c r="A83" t="s">
        <v>2322</v>
      </c>
      <c r="B83" s="9">
        <v>250310037</v>
      </c>
      <c r="C83" t="str">
        <f t="shared" si="2"/>
        <v>SYWS250310037</v>
      </c>
      <c r="D83" t="s">
        <v>2323</v>
      </c>
      <c r="E83" s="8" t="s">
        <v>2402</v>
      </c>
      <c r="F83" t="str">
        <f t="shared" si="3"/>
        <v>（省院外送）孕酮测定</v>
      </c>
    </row>
    <row r="84" ht="13.5" spans="1:6">
      <c r="A84" t="s">
        <v>2322</v>
      </c>
      <c r="B84" s="9">
        <v>250310038</v>
      </c>
      <c r="C84" t="str">
        <f t="shared" si="2"/>
        <v>SYWS250310038</v>
      </c>
      <c r="D84" t="s">
        <v>2323</v>
      </c>
      <c r="E84" s="8" t="s">
        <v>2403</v>
      </c>
      <c r="F84" t="str">
        <f t="shared" si="3"/>
        <v>（省院外送）血清人绒毛膜促性腺激素测定</v>
      </c>
    </row>
    <row r="85" ht="13.5" spans="1:6">
      <c r="A85" t="s">
        <v>2322</v>
      </c>
      <c r="B85" s="9">
        <v>250310039</v>
      </c>
      <c r="C85" t="str">
        <f t="shared" si="2"/>
        <v>SYWS250310039</v>
      </c>
      <c r="D85" t="s">
        <v>2323</v>
      </c>
      <c r="E85" s="8" t="s">
        <v>2404</v>
      </c>
      <c r="F85" t="str">
        <f t="shared" si="3"/>
        <v>（省院外送）血清胰岛素测定</v>
      </c>
    </row>
    <row r="86" ht="13.5" spans="1:6">
      <c r="A86" t="s">
        <v>2322</v>
      </c>
      <c r="B86" s="9">
        <v>250310041</v>
      </c>
      <c r="C86" t="str">
        <f t="shared" si="2"/>
        <v>SYWS250310041</v>
      </c>
      <c r="D86" t="s">
        <v>2323</v>
      </c>
      <c r="E86" s="8" t="s">
        <v>2405</v>
      </c>
      <c r="F86" t="str">
        <f t="shared" si="3"/>
        <v>（省院外送）血清C肽测定</v>
      </c>
    </row>
    <row r="87" ht="13.5" spans="1:6">
      <c r="A87" t="s">
        <v>2322</v>
      </c>
      <c r="B87" s="7">
        <v>250310043</v>
      </c>
      <c r="C87" t="str">
        <f t="shared" si="2"/>
        <v>SYWS250310043</v>
      </c>
      <c r="D87" t="s">
        <v>2323</v>
      </c>
      <c r="E87" s="8" t="s">
        <v>2406</v>
      </c>
      <c r="F87" t="str">
        <f t="shared" si="3"/>
        <v>（省院外送）血清抗谷氨酸脱羧酶抗体测定</v>
      </c>
    </row>
    <row r="88" ht="13.5" spans="1:6">
      <c r="A88" t="s">
        <v>2322</v>
      </c>
      <c r="B88" s="7">
        <v>250310054</v>
      </c>
      <c r="C88" t="str">
        <f t="shared" si="2"/>
        <v>SYWS250310054</v>
      </c>
      <c r="D88" t="s">
        <v>2323</v>
      </c>
      <c r="E88" s="8" t="s">
        <v>2407</v>
      </c>
      <c r="F88" t="str">
        <f t="shared" si="3"/>
        <v>（省院外送）降钙素原检测</v>
      </c>
    </row>
    <row r="89" ht="13.5" spans="1:6">
      <c r="A89" t="s">
        <v>2322</v>
      </c>
      <c r="B89" s="7">
        <v>250310061</v>
      </c>
      <c r="C89" t="str">
        <f t="shared" si="2"/>
        <v>SYWS250310061</v>
      </c>
      <c r="D89" t="s">
        <v>2323</v>
      </c>
      <c r="E89" s="8" t="s">
        <v>2408</v>
      </c>
      <c r="F89" t="str">
        <f t="shared" si="3"/>
        <v>（省院外送）5羟色胺测定</v>
      </c>
    </row>
    <row r="90" ht="13.5" spans="1:6">
      <c r="A90" t="s">
        <v>2322</v>
      </c>
      <c r="B90" s="7">
        <v>250310068</v>
      </c>
      <c r="C90" t="str">
        <f t="shared" si="2"/>
        <v>SYWS250310068</v>
      </c>
      <c r="D90" t="s">
        <v>2323</v>
      </c>
      <c r="E90" s="8" t="s">
        <v>2409</v>
      </c>
      <c r="F90" t="str">
        <f t="shared" si="3"/>
        <v>（省院外送）胃泌素17（G-17）测定</v>
      </c>
    </row>
    <row r="91" ht="13.5" spans="1:6">
      <c r="A91" t="s">
        <v>2322</v>
      </c>
      <c r="B91" s="7">
        <v>250401014</v>
      </c>
      <c r="C91" t="str">
        <f t="shared" si="2"/>
        <v>SYWS250401014</v>
      </c>
      <c r="D91" t="s">
        <v>2323</v>
      </c>
      <c r="E91" s="8" t="s">
        <v>2410</v>
      </c>
      <c r="F91" t="str">
        <f t="shared" si="3"/>
        <v>（省院外送）各种白介素测定</v>
      </c>
    </row>
    <row r="92" ht="13.5" spans="1:6">
      <c r="A92" t="s">
        <v>2322</v>
      </c>
      <c r="B92" s="7">
        <v>250401025</v>
      </c>
      <c r="C92" t="str">
        <f t="shared" si="2"/>
        <v>SYWS250401025</v>
      </c>
      <c r="D92" t="s">
        <v>2323</v>
      </c>
      <c r="E92" s="8" t="s">
        <v>2411</v>
      </c>
      <c r="F92" t="str">
        <f t="shared" si="3"/>
        <v>（省院外送）C-反应蛋白测定（CRP）</v>
      </c>
    </row>
    <row r="93" ht="13.5" spans="1:6">
      <c r="A93" t="s">
        <v>2322</v>
      </c>
      <c r="B93" s="7">
        <v>250402009</v>
      </c>
      <c r="C93" t="str">
        <f t="shared" si="2"/>
        <v>SYWS250402009</v>
      </c>
      <c r="D93" t="s">
        <v>2323</v>
      </c>
      <c r="E93" s="8" t="s">
        <v>2412</v>
      </c>
      <c r="F93" t="str">
        <f t="shared" si="3"/>
        <v>（省院外送）抗核糖体抗体测定</v>
      </c>
    </row>
    <row r="94" ht="13.5" spans="1:6">
      <c r="A94" t="s">
        <v>2322</v>
      </c>
      <c r="B94" s="9">
        <v>250402017</v>
      </c>
      <c r="C94" t="str">
        <f t="shared" si="2"/>
        <v>SYWS250402017</v>
      </c>
      <c r="D94" t="s">
        <v>2323</v>
      </c>
      <c r="E94" s="8" t="s">
        <v>2413</v>
      </c>
      <c r="F94" t="str">
        <f t="shared" si="3"/>
        <v>（省院外送）抗甲状腺球蛋白抗体测定(TGAb)</v>
      </c>
    </row>
    <row r="95" ht="13.5" spans="1:6">
      <c r="A95" t="s">
        <v>2322</v>
      </c>
      <c r="B95" s="9">
        <v>250402019</v>
      </c>
      <c r="C95" t="str">
        <f t="shared" si="2"/>
        <v>SYWS250402019</v>
      </c>
      <c r="D95" t="s">
        <v>2323</v>
      </c>
      <c r="E95" s="8" t="s">
        <v>2414</v>
      </c>
      <c r="F95" t="str">
        <f t="shared" si="3"/>
        <v>（省院外送）抗肾小球基底膜抗体测定</v>
      </c>
    </row>
    <row r="96" ht="13.5" spans="1:6">
      <c r="A96" t="s">
        <v>2322</v>
      </c>
      <c r="B96" s="7">
        <v>250402026</v>
      </c>
      <c r="C96" t="str">
        <f t="shared" si="2"/>
        <v>SYWS250402026</v>
      </c>
      <c r="D96" t="s">
        <v>2323</v>
      </c>
      <c r="E96" s="8" t="s">
        <v>2415</v>
      </c>
      <c r="F96" t="str">
        <f t="shared" si="3"/>
        <v>（省院外送）抗胰岛素抗体测定</v>
      </c>
    </row>
    <row r="97" ht="13.5" spans="1:6">
      <c r="A97" t="s">
        <v>2322</v>
      </c>
      <c r="B97" s="7">
        <v>250402034</v>
      </c>
      <c r="C97" t="str">
        <f t="shared" si="2"/>
        <v>SYWS250402034</v>
      </c>
      <c r="D97" t="s">
        <v>2323</v>
      </c>
      <c r="E97" s="8" t="s">
        <v>2416</v>
      </c>
      <c r="F97" t="str">
        <f t="shared" si="3"/>
        <v>（省院外送）抗内因子抗体测定</v>
      </c>
    </row>
    <row r="98" ht="13.5" spans="1:6">
      <c r="A98" t="s">
        <v>2322</v>
      </c>
      <c r="B98" s="7">
        <v>250402035</v>
      </c>
      <c r="C98" t="str">
        <f t="shared" si="2"/>
        <v>SYWS250402035</v>
      </c>
      <c r="D98" t="s">
        <v>2323</v>
      </c>
      <c r="E98" s="8" t="s">
        <v>2417</v>
      </c>
      <c r="F98" t="str">
        <f t="shared" si="3"/>
        <v>（省院外送）类风湿因子（RF）测定</v>
      </c>
    </row>
    <row r="99" ht="24" spans="1:6">
      <c r="A99" t="s">
        <v>2322</v>
      </c>
      <c r="B99" s="7">
        <v>250402041</v>
      </c>
      <c r="C99" t="str">
        <f t="shared" si="2"/>
        <v>SYWS250402041</v>
      </c>
      <c r="D99" t="s">
        <v>2323</v>
      </c>
      <c r="E99" s="8" t="s">
        <v>2418</v>
      </c>
      <c r="F99" t="str">
        <f t="shared" si="3"/>
        <v>（省院外送）抗环瓜氨酸肽抗体（抗CCP抗体）测定</v>
      </c>
    </row>
    <row r="100" ht="13.5" spans="1:6">
      <c r="A100" t="s">
        <v>2322</v>
      </c>
      <c r="B100" s="11">
        <v>250402047</v>
      </c>
      <c r="C100" t="str">
        <f t="shared" si="2"/>
        <v>SYWS250402047</v>
      </c>
      <c r="D100" t="s">
        <v>2323</v>
      </c>
      <c r="E100" s="8" t="s">
        <v>2419</v>
      </c>
      <c r="F100" t="str">
        <f t="shared" si="3"/>
        <v>（省院外送）抗RA33抗体测定</v>
      </c>
    </row>
    <row r="101" ht="13.5" spans="1:6">
      <c r="A101" t="s">
        <v>2322</v>
      </c>
      <c r="B101" s="7">
        <v>250403001</v>
      </c>
      <c r="C101" t="str">
        <f t="shared" si="2"/>
        <v>SYWS250403001</v>
      </c>
      <c r="D101" t="s">
        <v>2323</v>
      </c>
      <c r="E101" s="8" t="s">
        <v>2420</v>
      </c>
      <c r="F101" t="str">
        <f t="shared" si="3"/>
        <v>（省院外送）甲型肝炎抗体测定（Anti-HAV）</v>
      </c>
    </row>
    <row r="102" ht="13.5" spans="1:6">
      <c r="A102" t="s">
        <v>2322</v>
      </c>
      <c r="B102" s="7">
        <v>250403003</v>
      </c>
      <c r="C102" t="str">
        <f t="shared" si="2"/>
        <v>SYWS250403003</v>
      </c>
      <c r="D102" t="s">
        <v>2323</v>
      </c>
      <c r="E102" s="8" t="s">
        <v>2421</v>
      </c>
      <c r="F102" t="str">
        <f t="shared" si="3"/>
        <v>（省院外送）乙型肝炎DNA测定</v>
      </c>
    </row>
    <row r="103" ht="13.5" spans="1:6">
      <c r="A103" t="s">
        <v>2322</v>
      </c>
      <c r="B103" s="9">
        <v>250403004</v>
      </c>
      <c r="C103" t="str">
        <f t="shared" si="2"/>
        <v>SYWS250403004</v>
      </c>
      <c r="D103" t="s">
        <v>2323</v>
      </c>
      <c r="E103" s="8" t="s">
        <v>2422</v>
      </c>
      <c r="F103" t="str">
        <f t="shared" si="3"/>
        <v>（省院外送）乙型肝炎表面抗原测定(HBsAg)</v>
      </c>
    </row>
    <row r="104" ht="13.5" spans="1:6">
      <c r="A104" t="s">
        <v>2322</v>
      </c>
      <c r="B104" s="9">
        <v>250403005</v>
      </c>
      <c r="C104" t="str">
        <f t="shared" si="2"/>
        <v>SYWS250403005</v>
      </c>
      <c r="D104" t="s">
        <v>2323</v>
      </c>
      <c r="E104" s="8" t="s">
        <v>2423</v>
      </c>
      <c r="F104" t="str">
        <f t="shared" si="3"/>
        <v>（省院外送）乙型肝炎表面抗体测定(Anti-HBs)</v>
      </c>
    </row>
    <row r="105" ht="13.5" spans="1:6">
      <c r="A105" t="s">
        <v>2322</v>
      </c>
      <c r="B105" s="7">
        <v>250403006</v>
      </c>
      <c r="C105" t="str">
        <f t="shared" si="2"/>
        <v>SYWS250403006</v>
      </c>
      <c r="D105" t="s">
        <v>2323</v>
      </c>
      <c r="E105" s="8" t="s">
        <v>2424</v>
      </c>
      <c r="F105" t="str">
        <f t="shared" si="3"/>
        <v>（省院外送）乙型肝炎e抗原测定（HBeAg）</v>
      </c>
    </row>
    <row r="106" ht="13.5" spans="1:6">
      <c r="A106" t="s">
        <v>2322</v>
      </c>
      <c r="B106" s="7">
        <v>250403007</v>
      </c>
      <c r="C106" t="str">
        <f t="shared" si="2"/>
        <v>SYWS250403007</v>
      </c>
      <c r="D106" t="s">
        <v>2323</v>
      </c>
      <c r="E106" s="8" t="s">
        <v>2425</v>
      </c>
      <c r="F106" t="str">
        <f t="shared" si="3"/>
        <v>（省院外送）乙型肝炎e抗体测定（Anti-HBe）</v>
      </c>
    </row>
    <row r="107" ht="13.5" spans="1:6">
      <c r="A107" t="s">
        <v>2322</v>
      </c>
      <c r="B107" s="7">
        <v>250403009</v>
      </c>
      <c r="C107" t="str">
        <f t="shared" si="2"/>
        <v>SYWS250403009</v>
      </c>
      <c r="D107" t="s">
        <v>2323</v>
      </c>
      <c r="E107" s="8" t="s">
        <v>2426</v>
      </c>
      <c r="F107" t="str">
        <f t="shared" si="3"/>
        <v>（省院外送）乙型肝炎核心抗体测定（Anti-HBc）</v>
      </c>
    </row>
    <row r="108" ht="24" spans="1:6">
      <c r="A108" t="s">
        <v>2322</v>
      </c>
      <c r="B108" s="7">
        <v>250403010</v>
      </c>
      <c r="C108" t="str">
        <f t="shared" si="2"/>
        <v>SYWS250403010</v>
      </c>
      <c r="D108" t="s">
        <v>2323</v>
      </c>
      <c r="E108" s="8" t="s">
        <v>2427</v>
      </c>
      <c r="F108" t="str">
        <f t="shared" si="3"/>
        <v>（省院外送）乙型肝炎核心IgM抗体测定（Anti-HBcIgM）</v>
      </c>
    </row>
    <row r="109" ht="13.5" spans="1:6">
      <c r="A109" t="s">
        <v>2322</v>
      </c>
      <c r="B109" s="9">
        <v>250403014</v>
      </c>
      <c r="C109" t="str">
        <f t="shared" si="2"/>
        <v>SYWS250403014</v>
      </c>
      <c r="D109" t="s">
        <v>2323</v>
      </c>
      <c r="E109" s="8" t="s">
        <v>2428</v>
      </c>
      <c r="F109" t="str">
        <f t="shared" si="3"/>
        <v>（省院外送）丙型肝炎抗体测定（Anti-HCV）</v>
      </c>
    </row>
    <row r="110" ht="24" spans="1:6">
      <c r="A110" t="s">
        <v>2322</v>
      </c>
      <c r="B110" s="9">
        <v>250403019</v>
      </c>
      <c r="C110" t="str">
        <f t="shared" si="2"/>
        <v>SYWS250403019</v>
      </c>
      <c r="D110" t="s">
        <v>2323</v>
      </c>
      <c r="E110" s="8" t="s">
        <v>2429</v>
      </c>
      <c r="F110" t="str">
        <f t="shared" si="3"/>
        <v>（省院外送）人免疫缺陷病毒抗体测定（Anti-HIV）</v>
      </c>
    </row>
    <row r="111" ht="13.5" spans="1:6">
      <c r="A111" t="s">
        <v>2322</v>
      </c>
      <c r="B111" s="9">
        <v>250403022</v>
      </c>
      <c r="C111" t="str">
        <f t="shared" si="2"/>
        <v>SYWS250403022</v>
      </c>
      <c r="D111" t="s">
        <v>2323</v>
      </c>
      <c r="E111" s="8" t="s">
        <v>2430</v>
      </c>
      <c r="F111" t="str">
        <f t="shared" si="3"/>
        <v>（省院外送）巨细胞病毒抗体测定</v>
      </c>
    </row>
    <row r="112" ht="13.5" spans="1:6">
      <c r="A112" t="s">
        <v>2322</v>
      </c>
      <c r="B112" s="10">
        <v>250403025</v>
      </c>
      <c r="C112" t="str">
        <f t="shared" si="2"/>
        <v>SYWS250403025</v>
      </c>
      <c r="D112" t="s">
        <v>2323</v>
      </c>
      <c r="E112" s="8" t="s">
        <v>2431</v>
      </c>
      <c r="F112" t="str">
        <f t="shared" si="3"/>
        <v>（省院外送）EB病毒抗体测定</v>
      </c>
    </row>
    <row r="113" ht="13.5" spans="1:6">
      <c r="A113" t="s">
        <v>2322</v>
      </c>
      <c r="B113" s="7">
        <v>250403043</v>
      </c>
      <c r="C113" t="str">
        <f t="shared" si="2"/>
        <v>SYWS250403043</v>
      </c>
      <c r="D113" t="s">
        <v>2323</v>
      </c>
      <c r="E113" s="8" t="s">
        <v>2432</v>
      </c>
      <c r="F113" t="str">
        <f t="shared" si="3"/>
        <v>（省院外送）抗链球菌溶血素O测定（ASO）</v>
      </c>
    </row>
    <row r="114" ht="13.5" spans="1:6">
      <c r="A114" t="s">
        <v>2322</v>
      </c>
      <c r="B114" s="7">
        <v>250403055</v>
      </c>
      <c r="C114" t="str">
        <f t="shared" si="2"/>
        <v>SYWS250403055</v>
      </c>
      <c r="D114" t="s">
        <v>2323</v>
      </c>
      <c r="E114" s="8" t="s">
        <v>2433</v>
      </c>
      <c r="F114" t="str">
        <f t="shared" si="3"/>
        <v>（省院外送）不加热血清反应素试验</v>
      </c>
    </row>
    <row r="115" ht="13.5" spans="1:6">
      <c r="A115" t="s">
        <v>2322</v>
      </c>
      <c r="B115" s="7">
        <v>250403066</v>
      </c>
      <c r="C115" t="str">
        <f t="shared" si="2"/>
        <v>SYWS250403066</v>
      </c>
      <c r="D115" t="s">
        <v>2323</v>
      </c>
      <c r="E115" s="8" t="s">
        <v>2434</v>
      </c>
      <c r="F115" t="str">
        <f t="shared" si="3"/>
        <v>（省院外送）人乳头瘤病毒（HPV）核酸检测</v>
      </c>
    </row>
    <row r="116" ht="13.5" spans="1:6">
      <c r="A116" t="s">
        <v>2322</v>
      </c>
      <c r="B116" s="7">
        <v>250403076</v>
      </c>
      <c r="C116" t="str">
        <f t="shared" si="2"/>
        <v>SYWS250403076</v>
      </c>
      <c r="D116" t="s">
        <v>2323</v>
      </c>
      <c r="E116" s="8" t="s">
        <v>2435</v>
      </c>
      <c r="F116" t="str">
        <f t="shared" si="3"/>
        <v>（省院外送）肺炎衣原体抗体检测</v>
      </c>
    </row>
    <row r="117" ht="13.5" spans="1:6">
      <c r="A117" t="s">
        <v>2322</v>
      </c>
      <c r="B117" s="7">
        <v>250403082</v>
      </c>
      <c r="C117" t="str">
        <f t="shared" si="2"/>
        <v>SYWS250403082</v>
      </c>
      <c r="D117" t="s">
        <v>2323</v>
      </c>
      <c r="E117" s="8" t="s">
        <v>2436</v>
      </c>
      <c r="F117" t="str">
        <f t="shared" si="3"/>
        <v>（省院外送）丙型肝炎核心抗原测定</v>
      </c>
    </row>
    <row r="118" ht="13.5" spans="1:6">
      <c r="A118" t="s">
        <v>2322</v>
      </c>
      <c r="B118" s="7">
        <v>250403083</v>
      </c>
      <c r="C118" t="str">
        <f t="shared" si="2"/>
        <v>SYWS250403083</v>
      </c>
      <c r="D118" t="s">
        <v>2323</v>
      </c>
      <c r="E118" s="8" t="s">
        <v>2437</v>
      </c>
      <c r="F118" t="str">
        <f t="shared" si="3"/>
        <v>（省院外送）弓形虫IgG亲和力检测</v>
      </c>
    </row>
    <row r="119" ht="13.5" spans="1:6">
      <c r="A119" t="s">
        <v>2322</v>
      </c>
      <c r="B119" s="10">
        <v>250403086</v>
      </c>
      <c r="C119" t="str">
        <f t="shared" si="2"/>
        <v>SYWS250403086</v>
      </c>
      <c r="D119" t="s">
        <v>2323</v>
      </c>
      <c r="E119" s="8" t="s">
        <v>2438</v>
      </c>
      <c r="F119" t="str">
        <f t="shared" si="3"/>
        <v>（省院外送）EB病毒Rta蛋白抗体检测</v>
      </c>
    </row>
    <row r="120" ht="13.5" spans="1:6">
      <c r="A120" t="s">
        <v>2322</v>
      </c>
      <c r="B120" s="7">
        <v>250403087</v>
      </c>
      <c r="C120" t="str">
        <f t="shared" si="2"/>
        <v>SYWS250403087</v>
      </c>
      <c r="D120" t="s">
        <v>2323</v>
      </c>
      <c r="E120" s="8" t="s">
        <v>2439</v>
      </c>
      <c r="F120" t="str">
        <f t="shared" si="3"/>
        <v>（省院外送）巨细胞病毒IgG亲和力检测</v>
      </c>
    </row>
    <row r="121" ht="13.5" spans="1:6">
      <c r="A121" t="s">
        <v>2322</v>
      </c>
      <c r="B121" s="12">
        <v>250404001</v>
      </c>
      <c r="C121" t="str">
        <f t="shared" si="2"/>
        <v>SYWS250404001</v>
      </c>
      <c r="D121" t="s">
        <v>2323</v>
      </c>
      <c r="E121" s="8" t="s">
        <v>2440</v>
      </c>
      <c r="F121" t="str">
        <f t="shared" si="3"/>
        <v>（省院外送）癌胚抗原测定（CEA）</v>
      </c>
    </row>
    <row r="122" ht="13.5" spans="1:6">
      <c r="A122" t="s">
        <v>2322</v>
      </c>
      <c r="B122" s="9">
        <v>250404002</v>
      </c>
      <c r="C122" t="str">
        <f t="shared" si="2"/>
        <v>SYWS250404002</v>
      </c>
      <c r="D122" t="s">
        <v>2323</v>
      </c>
      <c r="E122" s="8" t="s">
        <v>2441</v>
      </c>
      <c r="F122" t="str">
        <f t="shared" si="3"/>
        <v>（省院外送）甲胎蛋白测定（AFP）</v>
      </c>
    </row>
    <row r="123" ht="13.5" spans="1:6">
      <c r="A123" t="s">
        <v>2322</v>
      </c>
      <c r="B123" s="13">
        <v>250404005</v>
      </c>
      <c r="C123" t="str">
        <f t="shared" si="2"/>
        <v>SYWS250404005</v>
      </c>
      <c r="D123" t="s">
        <v>2323</v>
      </c>
      <c r="E123" s="8" t="s">
        <v>2442</v>
      </c>
      <c r="F123" t="str">
        <f t="shared" si="3"/>
        <v>（省院外送）总前列腺特异性抗原测定（TPSA）</v>
      </c>
    </row>
    <row r="124" ht="13.5" spans="1:6">
      <c r="A124" t="s">
        <v>2322</v>
      </c>
      <c r="B124" s="9">
        <v>250404006</v>
      </c>
      <c r="C124" t="str">
        <f t="shared" si="2"/>
        <v>SYWS250404006</v>
      </c>
      <c r="D124" t="s">
        <v>2323</v>
      </c>
      <c r="E124" s="8" t="s">
        <v>2443</v>
      </c>
      <c r="F124" t="str">
        <f t="shared" si="3"/>
        <v>（省院外送）游离前列腺特异性抗原测定（FPSA）</v>
      </c>
    </row>
    <row r="125" ht="13.5" spans="1:6">
      <c r="A125" t="s">
        <v>2322</v>
      </c>
      <c r="B125" s="9">
        <v>250404009</v>
      </c>
      <c r="C125" t="str">
        <f t="shared" si="2"/>
        <v>SYWS250404009</v>
      </c>
      <c r="D125" t="s">
        <v>2323</v>
      </c>
      <c r="E125" s="8" t="s">
        <v>2444</v>
      </c>
      <c r="F125" t="str">
        <f t="shared" si="3"/>
        <v>（省院外送）神经元特异性烯醇化酶测定（NSE）</v>
      </c>
    </row>
    <row r="126" ht="24" spans="1:6">
      <c r="A126" t="s">
        <v>2322</v>
      </c>
      <c r="B126" s="9">
        <v>250404010</v>
      </c>
      <c r="C126" t="str">
        <f t="shared" si="2"/>
        <v>SYWS250404010</v>
      </c>
      <c r="D126" t="s">
        <v>2323</v>
      </c>
      <c r="E126" s="8" t="s">
        <v>2445</v>
      </c>
      <c r="F126" t="str">
        <f t="shared" si="3"/>
        <v>（省院外送）细胞角蛋白19片段测定（CYFRA21-1）</v>
      </c>
    </row>
    <row r="127" ht="13.5" spans="1:6">
      <c r="A127" t="s">
        <v>2322</v>
      </c>
      <c r="B127" s="9">
        <v>250404011</v>
      </c>
      <c r="C127" t="str">
        <f t="shared" si="2"/>
        <v>SYWS250404011</v>
      </c>
      <c r="D127" t="s">
        <v>2323</v>
      </c>
      <c r="E127" s="8" t="s">
        <v>2446</v>
      </c>
      <c r="F127" t="str">
        <f t="shared" si="3"/>
        <v>（省院外送）糖类抗原测定</v>
      </c>
    </row>
    <row r="128" ht="13.5" spans="1:6">
      <c r="A128" t="s">
        <v>2322</v>
      </c>
      <c r="B128" s="9">
        <v>250404012</v>
      </c>
      <c r="C128" t="str">
        <f t="shared" si="2"/>
        <v>SYWS250404012</v>
      </c>
      <c r="D128" t="s">
        <v>2323</v>
      </c>
      <c r="E128" s="8" t="s">
        <v>2447</v>
      </c>
      <c r="F128" t="str">
        <f t="shared" si="3"/>
        <v>（省院外送）鳞状细胞癌相关抗原测定（SCC）</v>
      </c>
    </row>
    <row r="129" ht="13.5" spans="1:6">
      <c r="A129" t="s">
        <v>2322</v>
      </c>
      <c r="B129" s="7">
        <v>250404015</v>
      </c>
      <c r="C129" t="str">
        <f t="shared" si="2"/>
        <v>SYWS250404015</v>
      </c>
      <c r="D129" t="s">
        <v>2323</v>
      </c>
      <c r="E129" s="8" t="s">
        <v>2448</v>
      </c>
      <c r="F129" t="str">
        <f t="shared" si="3"/>
        <v>（省院外送）铁蛋白测定</v>
      </c>
    </row>
    <row r="130" ht="13.5" spans="1:6">
      <c r="A130" t="s">
        <v>2322</v>
      </c>
      <c r="B130" s="7">
        <v>250404025</v>
      </c>
      <c r="C130" t="str">
        <f t="shared" si="2"/>
        <v>SYWS250404025</v>
      </c>
      <c r="D130" t="s">
        <v>2323</v>
      </c>
      <c r="E130" s="8" t="s">
        <v>2449</v>
      </c>
      <c r="F130" t="str">
        <f t="shared" si="3"/>
        <v>（省院外送）尿核基质蛋白（NMP22）测定</v>
      </c>
    </row>
    <row r="131" ht="13.5" spans="1:6">
      <c r="A131" t="s">
        <v>2322</v>
      </c>
      <c r="B131" s="7">
        <v>250404027</v>
      </c>
      <c r="C131" t="str">
        <f t="shared" si="2"/>
        <v>SYWS250404027</v>
      </c>
      <c r="D131" t="s">
        <v>2323</v>
      </c>
      <c r="E131" s="8" t="s">
        <v>2450</v>
      </c>
      <c r="F131" t="str">
        <f t="shared" si="3"/>
        <v>（省院外送）胃蛋白酶原定量检测</v>
      </c>
    </row>
    <row r="132" ht="13.5" spans="1:6">
      <c r="A132" t="s">
        <v>2322</v>
      </c>
      <c r="B132" s="9">
        <v>250405002</v>
      </c>
      <c r="C132" t="str">
        <f t="shared" si="2"/>
        <v>SYWS250405002</v>
      </c>
      <c r="D132" t="s">
        <v>2323</v>
      </c>
      <c r="E132" s="8" t="s">
        <v>2451</v>
      </c>
      <c r="F132" t="str">
        <f t="shared" si="3"/>
        <v>（省院外送）吸入物变应原筛查</v>
      </c>
    </row>
    <row r="133" ht="13.5" spans="1:6">
      <c r="A133" t="s">
        <v>2322</v>
      </c>
      <c r="B133" s="14">
        <v>250405003</v>
      </c>
      <c r="C133" t="str">
        <f t="shared" ref="C133:C196" si="4">A133&amp;B133</f>
        <v>SYWS250405003</v>
      </c>
      <c r="D133" t="s">
        <v>2323</v>
      </c>
      <c r="E133" s="8" t="s">
        <v>2452</v>
      </c>
      <c r="F133" t="str">
        <f t="shared" ref="F133:F196" si="5">D133&amp;E133</f>
        <v>（省院外送）食入物变应原筛查</v>
      </c>
    </row>
    <row r="134" ht="13.5" spans="1:6">
      <c r="A134" t="s">
        <v>2322</v>
      </c>
      <c r="B134" s="7">
        <v>250501036</v>
      </c>
      <c r="C134" t="str">
        <f t="shared" si="4"/>
        <v>SYWS250501036</v>
      </c>
      <c r="D134" t="s">
        <v>2323</v>
      </c>
      <c r="E134" s="8" t="s">
        <v>2453</v>
      </c>
      <c r="F134" t="str">
        <f t="shared" si="5"/>
        <v>（省院外送）其它病毒的血清学诊断</v>
      </c>
    </row>
    <row r="135" ht="13.5" spans="1:6">
      <c r="A135" t="s">
        <v>2322</v>
      </c>
      <c r="B135" s="9">
        <v>250501041</v>
      </c>
      <c r="C135" t="str">
        <f t="shared" si="4"/>
        <v>SYWS250501041</v>
      </c>
      <c r="D135" t="s">
        <v>2323</v>
      </c>
      <c r="E135" s="8" t="s">
        <v>2454</v>
      </c>
      <c r="F135" t="str">
        <f t="shared" si="5"/>
        <v>（省院外送）乙型肝炎病毒基因YMDD变异测定</v>
      </c>
    </row>
    <row r="136" ht="13.5" spans="1:6">
      <c r="A136" t="s">
        <v>2322</v>
      </c>
      <c r="B136" s="9">
        <v>250503006</v>
      </c>
      <c r="C136" t="str">
        <f t="shared" si="4"/>
        <v>SYWS250503006</v>
      </c>
      <c r="D136" t="s">
        <v>2323</v>
      </c>
      <c r="E136" s="8" t="s">
        <v>2455</v>
      </c>
      <c r="F136" t="str">
        <f t="shared" si="5"/>
        <v>（省院外送）内毒素鲎定量</v>
      </c>
    </row>
    <row r="137" ht="13.5" spans="1:6">
      <c r="A137" t="s">
        <v>2322</v>
      </c>
      <c r="B137" s="7">
        <v>250503013</v>
      </c>
      <c r="C137" t="str">
        <f t="shared" si="4"/>
        <v>SYWS250503013</v>
      </c>
      <c r="D137" t="s">
        <v>2323</v>
      </c>
      <c r="E137" s="8" t="s">
        <v>2456</v>
      </c>
      <c r="F137" t="str">
        <f t="shared" si="5"/>
        <v>（省院外送）高精度病毒载量分析</v>
      </c>
    </row>
    <row r="138" ht="13.5" spans="1:6">
      <c r="A138" t="s">
        <v>2322</v>
      </c>
      <c r="B138" s="7">
        <v>250503017</v>
      </c>
      <c r="C138" t="str">
        <f t="shared" si="4"/>
        <v>SYWS250503017</v>
      </c>
      <c r="D138" t="s">
        <v>2323</v>
      </c>
      <c r="E138" s="8" t="s">
        <v>2457</v>
      </c>
      <c r="F138" t="str">
        <f t="shared" si="5"/>
        <v>（省院外送）性激素结合球蛋白（SHBG）测定</v>
      </c>
    </row>
    <row r="139" ht="24" spans="1:6">
      <c r="A139" t="s">
        <v>2322</v>
      </c>
      <c r="B139" s="7">
        <v>250503018</v>
      </c>
      <c r="C139" t="str">
        <f t="shared" si="4"/>
        <v>SYWS250503018</v>
      </c>
      <c r="D139" t="s">
        <v>2323</v>
      </c>
      <c r="E139" s="8" t="s">
        <v>2458</v>
      </c>
      <c r="F139" t="str">
        <f t="shared" si="5"/>
        <v>（省院外送）总Ⅰ型胶原氨基端延长肽（Total-P1NP）测定</v>
      </c>
    </row>
    <row r="140" ht="13.5" spans="1:6">
      <c r="A140" t="s">
        <v>2322</v>
      </c>
      <c r="B140" s="15">
        <v>250503021</v>
      </c>
      <c r="C140" t="str">
        <f t="shared" si="4"/>
        <v>SYWS250503021</v>
      </c>
      <c r="D140" t="s">
        <v>2323</v>
      </c>
      <c r="E140" s="8" t="s">
        <v>2459</v>
      </c>
      <c r="F140" t="str">
        <f t="shared" si="5"/>
        <v>（省院外送）微小核糖核酸(microRNA)检测</v>
      </c>
    </row>
    <row r="141" ht="13.5" spans="1:6">
      <c r="A141" t="s">
        <v>2322</v>
      </c>
      <c r="B141" s="12">
        <v>250700001</v>
      </c>
      <c r="C141" t="str">
        <f t="shared" si="4"/>
        <v>SYWS250700001</v>
      </c>
      <c r="D141" t="s">
        <v>2323</v>
      </c>
      <c r="E141" s="8" t="s">
        <v>2460</v>
      </c>
      <c r="F141" t="str">
        <f t="shared" si="5"/>
        <v>（省院外送）外周血细胞染色体检查</v>
      </c>
    </row>
    <row r="142" ht="13.5" spans="1:6">
      <c r="A142" t="s">
        <v>2322</v>
      </c>
      <c r="B142" s="16">
        <v>250700011</v>
      </c>
      <c r="C142" t="str">
        <f t="shared" si="4"/>
        <v>SYWS250700011</v>
      </c>
      <c r="D142" t="s">
        <v>2323</v>
      </c>
      <c r="E142" s="8" t="s">
        <v>2461</v>
      </c>
      <c r="F142" t="str">
        <f t="shared" si="5"/>
        <v>（省院外送）性别基因（SRY）检测</v>
      </c>
    </row>
    <row r="143" ht="13.5" spans="1:6">
      <c r="A143" t="s">
        <v>2322</v>
      </c>
      <c r="B143" s="13">
        <v>250700013</v>
      </c>
      <c r="C143" t="str">
        <f t="shared" si="4"/>
        <v>SYWS250700013</v>
      </c>
      <c r="D143" t="s">
        <v>2323</v>
      </c>
      <c r="E143" s="8" t="s">
        <v>2462</v>
      </c>
      <c r="F143" t="str">
        <f t="shared" si="5"/>
        <v>（省院外送）染色体分析</v>
      </c>
    </row>
    <row r="144" ht="13.5" spans="1:6">
      <c r="A144" t="s">
        <v>2322</v>
      </c>
      <c r="B144" s="13">
        <v>250700014</v>
      </c>
      <c r="C144" t="str">
        <f t="shared" si="4"/>
        <v>SYWS250700014</v>
      </c>
      <c r="D144" t="s">
        <v>2323</v>
      </c>
      <c r="E144" s="8" t="s">
        <v>2463</v>
      </c>
      <c r="F144" t="str">
        <f t="shared" si="5"/>
        <v>（省院外送）培养细胞的染色体分析</v>
      </c>
    </row>
    <row r="145" ht="13.5" spans="1:6">
      <c r="A145" t="s">
        <v>2322</v>
      </c>
      <c r="B145" s="9">
        <v>250700021</v>
      </c>
      <c r="C145" t="str">
        <f t="shared" si="4"/>
        <v>SYWS250700021</v>
      </c>
      <c r="D145" t="s">
        <v>2323</v>
      </c>
      <c r="E145" s="8" t="s">
        <v>2464</v>
      </c>
      <c r="F145" t="str">
        <f t="shared" si="5"/>
        <v>（省院外送）α-地中海贫血基因检测</v>
      </c>
    </row>
    <row r="146" ht="13.5" spans="1:6">
      <c r="A146" t="s">
        <v>2322</v>
      </c>
      <c r="B146" s="9">
        <v>250700022</v>
      </c>
      <c r="C146" t="str">
        <f t="shared" si="4"/>
        <v>SYWS250700022</v>
      </c>
      <c r="D146" t="s">
        <v>2323</v>
      </c>
      <c r="E146" s="8" t="s">
        <v>2465</v>
      </c>
      <c r="F146" t="str">
        <f t="shared" si="5"/>
        <v>（省院外送）β-地中海贫血基因检测</v>
      </c>
    </row>
    <row r="147" ht="24" spans="1:6">
      <c r="A147" t="s">
        <v>2322</v>
      </c>
      <c r="B147" s="9">
        <v>260000023</v>
      </c>
      <c r="C147" t="str">
        <f t="shared" si="4"/>
        <v>SYWS260000023</v>
      </c>
      <c r="D147" t="s">
        <v>2323</v>
      </c>
      <c r="E147" s="8" t="s">
        <v>2466</v>
      </c>
      <c r="F147" t="str">
        <f t="shared" si="5"/>
        <v>（省院外送）人组织相容性抗原II类（HLA-II）分型</v>
      </c>
    </row>
    <row r="148" ht="13.5" spans="1:6">
      <c r="A148" t="s">
        <v>2322</v>
      </c>
      <c r="B148" s="9">
        <v>310800026</v>
      </c>
      <c r="C148" t="str">
        <f t="shared" si="4"/>
        <v>SYWS310800026</v>
      </c>
      <c r="D148" t="s">
        <v>2323</v>
      </c>
      <c r="E148" s="8" t="s">
        <v>2467</v>
      </c>
      <c r="F148" t="str">
        <f t="shared" si="5"/>
        <v>（省院外送）骨髓细胞彩色图象分析</v>
      </c>
    </row>
    <row r="149" ht="24" spans="1:6">
      <c r="A149" t="s">
        <v>2322</v>
      </c>
      <c r="B149" s="14" t="s">
        <v>2468</v>
      </c>
      <c r="C149" t="str">
        <f t="shared" si="4"/>
        <v>SYWS250101005-2</v>
      </c>
      <c r="D149" t="s">
        <v>2323</v>
      </c>
      <c r="E149" s="8" t="s">
        <v>2469</v>
      </c>
      <c r="F149" t="str">
        <f t="shared" si="5"/>
        <v>（省院外送）网织红细胞计数（Ret）（流式细胞仪法加收）</v>
      </c>
    </row>
    <row r="150" ht="24" spans="1:6">
      <c r="A150" t="s">
        <v>2322</v>
      </c>
      <c r="B150" s="9" t="s">
        <v>2470</v>
      </c>
      <c r="C150" t="str">
        <f t="shared" si="4"/>
        <v>SYWS250101008-1</v>
      </c>
      <c r="D150" t="s">
        <v>2323</v>
      </c>
      <c r="E150" s="8" t="s">
        <v>2471</v>
      </c>
      <c r="F150" t="str">
        <f t="shared" si="5"/>
        <v>（省院外送）红细胞沉降率测定（ESR）（仪器法加收）</v>
      </c>
    </row>
    <row r="151" ht="13.5" spans="1:6">
      <c r="A151" t="s">
        <v>2322</v>
      </c>
      <c r="B151" s="14" t="s">
        <v>2472</v>
      </c>
      <c r="C151" t="str">
        <f t="shared" si="4"/>
        <v>SYWS250101022-1</v>
      </c>
      <c r="D151" t="s">
        <v>2323</v>
      </c>
      <c r="E151" s="8" t="s">
        <v>2473</v>
      </c>
      <c r="F151" t="str">
        <f t="shared" si="5"/>
        <v>（省院外送）异常血小板形态检查（手工法）</v>
      </c>
    </row>
    <row r="152" ht="24" spans="1:6">
      <c r="A152" t="s">
        <v>2322</v>
      </c>
      <c r="B152" s="9" t="s">
        <v>2474</v>
      </c>
      <c r="C152" t="str">
        <f t="shared" si="4"/>
        <v>SYWS250203020-1</v>
      </c>
      <c r="D152" t="s">
        <v>2323</v>
      </c>
      <c r="E152" s="8" t="s">
        <v>2475</v>
      </c>
      <c r="F152" t="str">
        <f t="shared" si="5"/>
        <v>（省院外送）血浆凝血酶原时间测定（PT）（仪器法加收）</v>
      </c>
    </row>
    <row r="153" ht="24" spans="1:6">
      <c r="A153" t="s">
        <v>2322</v>
      </c>
      <c r="B153" s="9" t="s">
        <v>2476</v>
      </c>
      <c r="C153" t="str">
        <f t="shared" si="4"/>
        <v>SYWS250203025-1</v>
      </c>
      <c r="D153" t="s">
        <v>2323</v>
      </c>
      <c r="E153" s="8" t="s">
        <v>2477</v>
      </c>
      <c r="F153" t="str">
        <f t="shared" si="5"/>
        <v>（省院外送）活化部分凝血活酶时间测定（APTT）（仪器法加收）</v>
      </c>
    </row>
    <row r="154" ht="13.5" spans="1:6">
      <c r="A154" t="s">
        <v>2322</v>
      </c>
      <c r="B154" s="9" t="s">
        <v>2478</v>
      </c>
      <c r="C154" t="str">
        <f t="shared" si="4"/>
        <v>SYWS250203030-1</v>
      </c>
      <c r="D154" t="s">
        <v>2323</v>
      </c>
      <c r="E154" s="8" t="s">
        <v>2479</v>
      </c>
      <c r="F154" t="str">
        <f t="shared" si="5"/>
        <v>（省院外送）血浆纤维蛋白原测定（仪器法加收）</v>
      </c>
    </row>
    <row r="155" ht="24" spans="1:6">
      <c r="A155" t="s">
        <v>2322</v>
      </c>
      <c r="B155" s="9" t="s">
        <v>2480</v>
      </c>
      <c r="C155" t="str">
        <f t="shared" si="4"/>
        <v>SYWS250203031-1</v>
      </c>
      <c r="D155" t="s">
        <v>2323</v>
      </c>
      <c r="E155" s="8" t="s">
        <v>2481</v>
      </c>
      <c r="F155" t="str">
        <f t="shared" si="5"/>
        <v>（省院外送）血浆凝血因子活性测定（仪器法加收）</v>
      </c>
    </row>
    <row r="156" ht="24" spans="1:6">
      <c r="A156" t="s">
        <v>2322</v>
      </c>
      <c r="B156" s="10" t="s">
        <v>2482</v>
      </c>
      <c r="C156" t="str">
        <f t="shared" si="4"/>
        <v>SYWS250203031-10</v>
      </c>
      <c r="D156" t="s">
        <v>2323</v>
      </c>
      <c r="E156" s="8" t="s">
        <v>2483</v>
      </c>
      <c r="F156" t="str">
        <f t="shared" si="5"/>
        <v>（省院外送）血浆凝血因子活性测定（血浆凝血因子(ⅩⅢ)活性测定）</v>
      </c>
    </row>
    <row r="157" ht="24" spans="1:6">
      <c r="A157" t="s">
        <v>2322</v>
      </c>
      <c r="B157" s="9" t="s">
        <v>2484</v>
      </c>
      <c r="C157" t="str">
        <f t="shared" si="4"/>
        <v>SYWS250203031-2</v>
      </c>
      <c r="D157" t="s">
        <v>2323</v>
      </c>
      <c r="E157" s="8" t="s">
        <v>2485</v>
      </c>
      <c r="F157" t="str">
        <f t="shared" si="5"/>
        <v>（省院外送）血浆凝血因子活性测定（血浆凝血因子(Ⅱ)活性测定）</v>
      </c>
    </row>
    <row r="158" ht="24" spans="1:6">
      <c r="A158" t="s">
        <v>2322</v>
      </c>
      <c r="B158" s="9" t="s">
        <v>2486</v>
      </c>
      <c r="C158" t="str">
        <f t="shared" si="4"/>
        <v>SYWS250203031-3</v>
      </c>
      <c r="D158" t="s">
        <v>2323</v>
      </c>
      <c r="E158" s="8" t="s">
        <v>2487</v>
      </c>
      <c r="F158" t="str">
        <f t="shared" si="5"/>
        <v>（省院外送）血浆凝血因子活性测定（血浆凝血因子(Ⅴ)活性测定）</v>
      </c>
    </row>
    <row r="159" ht="24" spans="1:6">
      <c r="A159" t="s">
        <v>2322</v>
      </c>
      <c r="B159" s="9" t="s">
        <v>2488</v>
      </c>
      <c r="C159" t="str">
        <f t="shared" si="4"/>
        <v>SYWS250203031-4</v>
      </c>
      <c r="D159" t="s">
        <v>2323</v>
      </c>
      <c r="E159" s="8" t="s">
        <v>2489</v>
      </c>
      <c r="F159" t="str">
        <f t="shared" si="5"/>
        <v>（省院外送）血浆凝血因子活性测定（血浆凝血因子(Ⅶ)活性测定）</v>
      </c>
    </row>
    <row r="160" ht="24" spans="1:6">
      <c r="A160" t="s">
        <v>2322</v>
      </c>
      <c r="B160" s="9" t="s">
        <v>2490</v>
      </c>
      <c r="C160" t="str">
        <f t="shared" si="4"/>
        <v>SYWS250203031-5</v>
      </c>
      <c r="D160" t="s">
        <v>2323</v>
      </c>
      <c r="E160" s="8" t="s">
        <v>2491</v>
      </c>
      <c r="F160" t="str">
        <f t="shared" si="5"/>
        <v>（省院外送）血浆凝血因子活性测定（血浆凝血因子(Ⅷ)活性测定）</v>
      </c>
    </row>
    <row r="161" ht="24" spans="1:6">
      <c r="A161" t="s">
        <v>2322</v>
      </c>
      <c r="B161" s="9" t="s">
        <v>2492</v>
      </c>
      <c r="C161" t="str">
        <f t="shared" si="4"/>
        <v>SYWS250203031-6</v>
      </c>
      <c r="D161" t="s">
        <v>2323</v>
      </c>
      <c r="E161" s="8" t="s">
        <v>2493</v>
      </c>
      <c r="F161" t="str">
        <f t="shared" si="5"/>
        <v>（省院外送）血浆凝血因子活性测定（血浆凝血因子(Ⅸ)活性测定）</v>
      </c>
    </row>
    <row r="162" ht="24" spans="1:6">
      <c r="A162" t="s">
        <v>2322</v>
      </c>
      <c r="B162" s="9" t="s">
        <v>2494</v>
      </c>
      <c r="C162" t="str">
        <f t="shared" si="4"/>
        <v>SYWS250203031-7</v>
      </c>
      <c r="D162" t="s">
        <v>2323</v>
      </c>
      <c r="E162" s="8" t="s">
        <v>2495</v>
      </c>
      <c r="F162" t="str">
        <f t="shared" si="5"/>
        <v>（省院外送）血浆凝血因子活性测定（血浆凝血因子(Ⅹ)活性测定）</v>
      </c>
    </row>
    <row r="163" ht="24" spans="1:6">
      <c r="A163" t="s">
        <v>2322</v>
      </c>
      <c r="B163" s="9" t="s">
        <v>2496</v>
      </c>
      <c r="C163" t="str">
        <f t="shared" si="4"/>
        <v>SYWS250203031-8</v>
      </c>
      <c r="D163" t="s">
        <v>2323</v>
      </c>
      <c r="E163" s="8" t="s">
        <v>2497</v>
      </c>
      <c r="F163" t="str">
        <f t="shared" si="5"/>
        <v>（省院外送）血浆凝血因子活性测定（血浆凝血因子(Ⅺ)活性测定）</v>
      </c>
    </row>
    <row r="164" ht="24" spans="1:6">
      <c r="A164" t="s">
        <v>2322</v>
      </c>
      <c r="B164" s="9" t="s">
        <v>2498</v>
      </c>
      <c r="C164" t="str">
        <f t="shared" si="4"/>
        <v>SYWS250203031-9</v>
      </c>
      <c r="D164" t="s">
        <v>2323</v>
      </c>
      <c r="E164" s="8" t="s">
        <v>2499</v>
      </c>
      <c r="F164" t="str">
        <f t="shared" si="5"/>
        <v>（省院外送）血浆凝血因子活性测定（血浆凝血因子(Ⅻ)活性测定）</v>
      </c>
    </row>
    <row r="165" ht="24" spans="1:6">
      <c r="A165" t="s">
        <v>2322</v>
      </c>
      <c r="B165" s="9" t="s">
        <v>2500</v>
      </c>
      <c r="C165" t="str">
        <f t="shared" si="4"/>
        <v>SYWS250203035-1</v>
      </c>
      <c r="D165" t="s">
        <v>2323</v>
      </c>
      <c r="E165" s="8" t="s">
        <v>2501</v>
      </c>
      <c r="F165" t="str">
        <f t="shared" si="5"/>
        <v>（省院外送）凝血酶时间测定（TT）（仪器法加收）</v>
      </c>
    </row>
    <row r="166" ht="24" spans="1:6">
      <c r="A166" t="s">
        <v>2322</v>
      </c>
      <c r="B166" s="10" t="s">
        <v>2502</v>
      </c>
      <c r="C166" t="str">
        <f t="shared" si="4"/>
        <v>SYWS250203047-1</v>
      </c>
      <c r="D166" t="s">
        <v>2323</v>
      </c>
      <c r="E166" s="8" t="s">
        <v>2503</v>
      </c>
      <c r="F166" t="str">
        <f t="shared" si="5"/>
        <v>（省院外送）血浆抗凝血酶Ⅲ活性测定（AT—ⅢA）（仪器法加收）</v>
      </c>
    </row>
    <row r="167" ht="13.5" spans="1:6">
      <c r="A167" t="s">
        <v>2322</v>
      </c>
      <c r="B167" s="14" t="s">
        <v>2504</v>
      </c>
      <c r="C167" t="str">
        <f t="shared" si="4"/>
        <v>SYWS250301006-1</v>
      </c>
      <c r="D167" t="s">
        <v>2323</v>
      </c>
      <c r="E167" s="8" t="s">
        <v>2505</v>
      </c>
      <c r="F167" t="str">
        <f t="shared" si="5"/>
        <v>（省院外送）血清前白蛋白测定（免疫比浊法）</v>
      </c>
    </row>
    <row r="168" ht="13.5" spans="1:6">
      <c r="A168" t="s">
        <v>2322</v>
      </c>
      <c r="B168" s="14" t="s">
        <v>2506</v>
      </c>
      <c r="C168" t="str">
        <f t="shared" si="4"/>
        <v>SYWS250301007-1</v>
      </c>
      <c r="D168" t="s">
        <v>2323</v>
      </c>
      <c r="E168" s="8" t="s">
        <v>2507</v>
      </c>
      <c r="F168" t="str">
        <f t="shared" si="5"/>
        <v>（省院外送）转铁蛋白测定（血清标本）</v>
      </c>
    </row>
    <row r="169" ht="13.5" spans="1:6">
      <c r="A169" t="s">
        <v>2322</v>
      </c>
      <c r="B169" s="14" t="s">
        <v>2508</v>
      </c>
      <c r="C169" t="str">
        <f t="shared" si="4"/>
        <v>SYWS250301014-2</v>
      </c>
      <c r="D169" t="s">
        <v>2323</v>
      </c>
      <c r="E169" s="8" t="s">
        <v>2509</v>
      </c>
      <c r="F169" t="str">
        <f t="shared" si="5"/>
        <v>（省院外送）β2微球蛋白测定(血清标本)</v>
      </c>
    </row>
    <row r="170" ht="13.5" spans="1:6">
      <c r="A170" t="s">
        <v>2322</v>
      </c>
      <c r="B170" s="14" t="s">
        <v>2510</v>
      </c>
      <c r="C170" t="str">
        <f t="shared" si="4"/>
        <v>SYWS250306001-2</v>
      </c>
      <c r="D170" t="s">
        <v>2323</v>
      </c>
      <c r="E170" s="8" t="s">
        <v>2511</v>
      </c>
      <c r="F170" t="str">
        <f t="shared" si="5"/>
        <v>（省院外送）血清肌酸激酶测定(速率法)</v>
      </c>
    </row>
    <row r="171" ht="24" spans="1:6">
      <c r="A171" t="s">
        <v>2322</v>
      </c>
      <c r="B171" s="14" t="s">
        <v>2512</v>
      </c>
      <c r="C171" t="str">
        <f t="shared" si="4"/>
        <v>SYWS250306002-2</v>
      </c>
      <c r="D171" t="s">
        <v>2323</v>
      </c>
      <c r="E171" s="8" t="s">
        <v>2513</v>
      </c>
      <c r="F171" t="str">
        <f t="shared" si="5"/>
        <v>（省院外送）血清肌酸激酶-MB同工酶活性测定(速率法)</v>
      </c>
    </row>
    <row r="172" ht="13.5" spans="1:6">
      <c r="A172" t="s">
        <v>2322</v>
      </c>
      <c r="B172" s="9" t="s">
        <v>2514</v>
      </c>
      <c r="C172" t="str">
        <f t="shared" si="4"/>
        <v>SYWS250306010-1</v>
      </c>
      <c r="D172" t="s">
        <v>2323</v>
      </c>
      <c r="E172" s="8" t="s">
        <v>2515</v>
      </c>
      <c r="F172" t="str">
        <f t="shared" si="5"/>
        <v>（省院外送）血清肌红蛋白测定(化学发光法加收)</v>
      </c>
    </row>
    <row r="173" ht="24" spans="1:6">
      <c r="A173" t="s">
        <v>2322</v>
      </c>
      <c r="B173" s="14" t="s">
        <v>2516</v>
      </c>
      <c r="C173" t="str">
        <f t="shared" si="4"/>
        <v>SYWS250306011-1</v>
      </c>
      <c r="D173" t="s">
        <v>2323</v>
      </c>
      <c r="E173" s="8" t="s">
        <v>2517</v>
      </c>
      <c r="F173" t="str">
        <f t="shared" si="5"/>
        <v>（省院外送）血同型半胱氨酸测定(各种免疫学方法)</v>
      </c>
    </row>
    <row r="174" ht="24" spans="1:6">
      <c r="A174" t="s">
        <v>2322</v>
      </c>
      <c r="B174" s="14" t="s">
        <v>2518</v>
      </c>
      <c r="C174" t="str">
        <f t="shared" si="4"/>
        <v>SYWS250307029-2</v>
      </c>
      <c r="D174" t="s">
        <v>2323</v>
      </c>
      <c r="E174" s="8" t="s">
        <v>2519</v>
      </c>
      <c r="F174" t="str">
        <f t="shared" si="5"/>
        <v>（省院外送）α1—微球蛋白测定（尿标本速率散射比浊法）</v>
      </c>
    </row>
    <row r="175" ht="24" spans="1:6">
      <c r="A175" t="s">
        <v>2322</v>
      </c>
      <c r="B175" s="9" t="s">
        <v>2520</v>
      </c>
      <c r="C175" t="str">
        <f t="shared" si="4"/>
        <v>SYWS250309001-1</v>
      </c>
      <c r="D175" t="s">
        <v>2323</v>
      </c>
      <c r="E175" s="8" t="s">
        <v>2521</v>
      </c>
      <c r="F175" t="str">
        <f t="shared" si="5"/>
        <v>（省院外送）25羟维生素D测定（化学发光法加收）</v>
      </c>
    </row>
    <row r="176" ht="13.5" spans="1:6">
      <c r="A176" t="s">
        <v>2322</v>
      </c>
      <c r="B176" s="9" t="s">
        <v>2522</v>
      </c>
      <c r="C176" t="str">
        <f t="shared" si="4"/>
        <v>SYWS250309003-1</v>
      </c>
      <c r="D176" t="s">
        <v>2323</v>
      </c>
      <c r="E176" s="8" t="s">
        <v>2523</v>
      </c>
      <c r="F176" t="str">
        <f t="shared" si="5"/>
        <v>（省院外送）叶酸测定(化学发光法加收)</v>
      </c>
    </row>
    <row r="177" ht="13.5" spans="1:6">
      <c r="A177" t="s">
        <v>2322</v>
      </c>
      <c r="B177" s="9" t="s">
        <v>2524</v>
      </c>
      <c r="C177" t="str">
        <f t="shared" si="4"/>
        <v>SYWS250309004-1</v>
      </c>
      <c r="D177" t="s">
        <v>2323</v>
      </c>
      <c r="E177" s="8" t="s">
        <v>2525</v>
      </c>
      <c r="F177" t="str">
        <f t="shared" si="5"/>
        <v>（省院外送）血清维生素测定(化学发光法加收)</v>
      </c>
    </row>
    <row r="178" ht="24" spans="1:6">
      <c r="A178" t="s">
        <v>2322</v>
      </c>
      <c r="B178" s="9" t="s">
        <v>2526</v>
      </c>
      <c r="C178" t="str">
        <f t="shared" si="4"/>
        <v>SYWS250310001-1</v>
      </c>
      <c r="D178" t="s">
        <v>2323</v>
      </c>
      <c r="E178" s="8" t="s">
        <v>2527</v>
      </c>
      <c r="F178" t="str">
        <f t="shared" si="5"/>
        <v>（省院外送）血清促甲状腺激素测定(化学发光法加收)</v>
      </c>
    </row>
    <row r="179" ht="13.5" spans="1:6">
      <c r="A179" t="s">
        <v>2322</v>
      </c>
      <c r="B179" s="9" t="s">
        <v>2528</v>
      </c>
      <c r="C179" t="str">
        <f t="shared" si="4"/>
        <v>SYWS250310002-1</v>
      </c>
      <c r="D179" t="s">
        <v>2323</v>
      </c>
      <c r="E179" s="8" t="s">
        <v>2529</v>
      </c>
      <c r="F179" t="str">
        <f t="shared" si="5"/>
        <v>（省院外送）血清泌乳素测定(化学发光法加收)</v>
      </c>
    </row>
    <row r="180" ht="24" spans="1:6">
      <c r="A180" t="s">
        <v>2322</v>
      </c>
      <c r="B180" s="9" t="s">
        <v>2530</v>
      </c>
      <c r="C180" t="str">
        <f t="shared" si="4"/>
        <v>SYWS250310004-1</v>
      </c>
      <c r="D180" t="s">
        <v>2323</v>
      </c>
      <c r="E180" s="8" t="s">
        <v>2531</v>
      </c>
      <c r="F180" t="str">
        <f t="shared" si="5"/>
        <v>（省院外送）血清促卵泡刺激素测定(化学发光法加收)</v>
      </c>
    </row>
    <row r="181" ht="24" spans="1:6">
      <c r="A181" t="s">
        <v>2322</v>
      </c>
      <c r="B181" s="9" t="s">
        <v>2532</v>
      </c>
      <c r="C181" t="str">
        <f t="shared" si="4"/>
        <v>SYWS250310006-1</v>
      </c>
      <c r="D181" t="s">
        <v>2323</v>
      </c>
      <c r="E181" s="8" t="s">
        <v>2533</v>
      </c>
      <c r="F181" t="str">
        <f t="shared" si="5"/>
        <v>（省院外送）血清促肾上腺皮质激素测定(化学发光法加收)</v>
      </c>
    </row>
    <row r="182" ht="13.5" spans="1:6">
      <c r="A182" t="s">
        <v>2322</v>
      </c>
      <c r="B182" s="9" t="s">
        <v>2534</v>
      </c>
      <c r="C182" t="str">
        <f t="shared" si="4"/>
        <v>SYWS250310009-1</v>
      </c>
      <c r="D182" t="s">
        <v>2323</v>
      </c>
      <c r="E182" s="8" t="s">
        <v>2535</v>
      </c>
      <c r="F182" t="str">
        <f t="shared" si="5"/>
        <v>（省院外送）甲状旁腺激素测定(化学发光法加收)</v>
      </c>
    </row>
    <row r="183" ht="24" spans="1:6">
      <c r="A183" t="s">
        <v>2322</v>
      </c>
      <c r="B183" s="9" t="s">
        <v>2536</v>
      </c>
      <c r="C183" t="str">
        <f t="shared" si="4"/>
        <v>SYWS250310010-1</v>
      </c>
      <c r="D183" t="s">
        <v>2323</v>
      </c>
      <c r="E183" s="8" t="s">
        <v>2537</v>
      </c>
      <c r="F183" t="str">
        <f t="shared" si="5"/>
        <v>（省院外送）血清甲状腺素（T4）测定(化学发光法加收)</v>
      </c>
    </row>
    <row r="184" ht="24" spans="1:6">
      <c r="A184" t="s">
        <v>2322</v>
      </c>
      <c r="B184" s="9" t="s">
        <v>2538</v>
      </c>
      <c r="C184" t="str">
        <f t="shared" si="4"/>
        <v>SYWS250310011-1</v>
      </c>
      <c r="D184" t="s">
        <v>2323</v>
      </c>
      <c r="E184" s="8" t="s">
        <v>2539</v>
      </c>
      <c r="F184" t="str">
        <f t="shared" si="5"/>
        <v>（省院外送）血清三碘甲状原氨酸（T3）测定(化学发光法加收)</v>
      </c>
    </row>
    <row r="185" ht="24" spans="1:6">
      <c r="A185" t="s">
        <v>2322</v>
      </c>
      <c r="B185" s="9" t="s">
        <v>2540</v>
      </c>
      <c r="C185" t="str">
        <f t="shared" si="4"/>
        <v>SYWS250310013-1</v>
      </c>
      <c r="D185" t="s">
        <v>2323</v>
      </c>
      <c r="E185" s="8" t="s">
        <v>2541</v>
      </c>
      <c r="F185" t="str">
        <f t="shared" si="5"/>
        <v>（省院外送）血清游离甲状腺素（FT4）测定(化学发光法加收)</v>
      </c>
    </row>
    <row r="186" ht="24" spans="1:6">
      <c r="A186" t="s">
        <v>2322</v>
      </c>
      <c r="B186" s="9" t="s">
        <v>2542</v>
      </c>
      <c r="C186" t="str">
        <f t="shared" si="4"/>
        <v>SYWS250310014-1</v>
      </c>
      <c r="D186" t="s">
        <v>2323</v>
      </c>
      <c r="E186" s="8" t="s">
        <v>2543</v>
      </c>
      <c r="F186" t="str">
        <f t="shared" si="5"/>
        <v>（省院外送）血清游离三碘甲状原氨酸（FT3）测定(化学发光法加收)</v>
      </c>
    </row>
    <row r="187" ht="13.5" spans="1:6">
      <c r="A187" t="s">
        <v>2322</v>
      </c>
      <c r="B187" s="9" t="s">
        <v>2544</v>
      </c>
      <c r="C187" t="str">
        <f t="shared" si="4"/>
        <v>SYWS250310018-1</v>
      </c>
      <c r="D187" t="s">
        <v>2323</v>
      </c>
      <c r="E187" s="8" t="s">
        <v>2545</v>
      </c>
      <c r="F187" t="str">
        <f t="shared" si="5"/>
        <v>（省院外送）血浆皮质醇测定（化学发光法加收）</v>
      </c>
    </row>
    <row r="188" ht="13.5" spans="1:6">
      <c r="A188" t="s">
        <v>2322</v>
      </c>
      <c r="B188" s="9" t="s">
        <v>2546</v>
      </c>
      <c r="C188" t="str">
        <f t="shared" si="4"/>
        <v>SYWS250310023-1</v>
      </c>
      <c r="D188" t="s">
        <v>2323</v>
      </c>
      <c r="E188" s="8" t="s">
        <v>2547</v>
      </c>
      <c r="F188" t="str">
        <f t="shared" si="5"/>
        <v>（省院外送）醛固酮测定（化学发光法加收）</v>
      </c>
    </row>
    <row r="189" ht="24" spans="1:6">
      <c r="A189" t="s">
        <v>2322</v>
      </c>
      <c r="B189" s="9" t="s">
        <v>2548</v>
      </c>
      <c r="C189" t="str">
        <f t="shared" si="4"/>
        <v>SYWS250310026-1</v>
      </c>
      <c r="D189" t="s">
        <v>2323</v>
      </c>
      <c r="E189" s="8" t="s">
        <v>2549</v>
      </c>
      <c r="F189" t="str">
        <f t="shared" si="5"/>
        <v>（省院外送）血浆肾素活性测定（化学发光法加收）</v>
      </c>
    </row>
    <row r="190" ht="13.5" spans="1:6">
      <c r="A190" t="s">
        <v>2322</v>
      </c>
      <c r="B190" s="9" t="s">
        <v>2550</v>
      </c>
      <c r="C190" t="str">
        <f t="shared" si="4"/>
        <v>SYWS250310030-1</v>
      </c>
      <c r="D190" t="s">
        <v>2323</v>
      </c>
      <c r="E190" s="8" t="s">
        <v>2551</v>
      </c>
      <c r="F190" t="str">
        <f t="shared" si="5"/>
        <v>（省院外送）睾酮测定（化学发光法加收）</v>
      </c>
    </row>
    <row r="191" ht="13.5" spans="1:6">
      <c r="A191" t="s">
        <v>2322</v>
      </c>
      <c r="B191" s="9" t="s">
        <v>2552</v>
      </c>
      <c r="C191" t="str">
        <f t="shared" si="4"/>
        <v>SYWS250310036-1</v>
      </c>
      <c r="D191" t="s">
        <v>2323</v>
      </c>
      <c r="E191" s="8" t="s">
        <v>2553</v>
      </c>
      <c r="F191" t="str">
        <f t="shared" si="5"/>
        <v>（省院外送）雌二醇测定（化学发光法加收）</v>
      </c>
    </row>
    <row r="192" ht="13.5" spans="1:6">
      <c r="A192" t="s">
        <v>2322</v>
      </c>
      <c r="B192" s="9" t="s">
        <v>2554</v>
      </c>
      <c r="C192" t="str">
        <f t="shared" si="4"/>
        <v>SYWS250310037-1</v>
      </c>
      <c r="D192" t="s">
        <v>2323</v>
      </c>
      <c r="E192" s="8" t="s">
        <v>2555</v>
      </c>
      <c r="F192" t="str">
        <f t="shared" si="5"/>
        <v>（省院外送）孕酮测定（化学发光法加收）</v>
      </c>
    </row>
    <row r="193" ht="24" spans="1:6">
      <c r="A193" t="s">
        <v>2322</v>
      </c>
      <c r="B193" s="9" t="s">
        <v>2556</v>
      </c>
      <c r="C193" t="str">
        <f t="shared" si="4"/>
        <v>SYWS250310038-1</v>
      </c>
      <c r="D193" t="s">
        <v>2323</v>
      </c>
      <c r="E193" s="8" t="s">
        <v>2557</v>
      </c>
      <c r="F193" t="str">
        <f t="shared" si="5"/>
        <v>（省院外送）血清人绒毛膜促性腺激素测定（化学发光法加收）</v>
      </c>
    </row>
    <row r="194" ht="13.5" spans="1:6">
      <c r="A194" t="s">
        <v>2322</v>
      </c>
      <c r="B194" s="9" t="s">
        <v>2558</v>
      </c>
      <c r="C194" t="str">
        <f t="shared" si="4"/>
        <v>SYWS250310039-1</v>
      </c>
      <c r="D194" t="s">
        <v>2323</v>
      </c>
      <c r="E194" s="8" t="s">
        <v>2559</v>
      </c>
      <c r="F194" t="str">
        <f t="shared" si="5"/>
        <v>（省院外送）血清胰岛素测定（化学发光法加收）</v>
      </c>
    </row>
    <row r="195" ht="13.5" spans="1:6">
      <c r="A195" t="s">
        <v>2322</v>
      </c>
      <c r="B195" s="9" t="s">
        <v>2560</v>
      </c>
      <c r="C195" t="str">
        <f t="shared" si="4"/>
        <v>SYWS250310041-1</v>
      </c>
      <c r="D195" t="s">
        <v>2323</v>
      </c>
      <c r="E195" s="8" t="s">
        <v>2561</v>
      </c>
      <c r="F195" t="str">
        <f t="shared" si="5"/>
        <v>（省院外送）血清C肽测定（化学发光法加收）</v>
      </c>
    </row>
    <row r="196" ht="13.5" spans="1:6">
      <c r="A196" t="s">
        <v>2322</v>
      </c>
      <c r="B196" s="14" t="s">
        <v>2562</v>
      </c>
      <c r="C196" t="str">
        <f t="shared" si="4"/>
        <v>SYWS250401020-6</v>
      </c>
      <c r="D196" t="s">
        <v>2323</v>
      </c>
      <c r="E196" s="8" t="s">
        <v>2563</v>
      </c>
      <c r="F196" t="str">
        <f t="shared" si="5"/>
        <v>（省院外送）单项补体测定（C3）</v>
      </c>
    </row>
    <row r="197" ht="13.5" spans="1:6">
      <c r="A197" t="s">
        <v>2322</v>
      </c>
      <c r="B197" s="14" t="s">
        <v>2564</v>
      </c>
      <c r="C197" t="str">
        <f t="shared" ref="C197:C248" si="6">A197&amp;B197</f>
        <v>SYWS250401020-7</v>
      </c>
      <c r="D197" t="s">
        <v>2323</v>
      </c>
      <c r="E197" s="8" t="s">
        <v>2565</v>
      </c>
      <c r="F197" t="str">
        <f t="shared" ref="F197:F248" si="7">D197&amp;E197</f>
        <v>（省院外送）单项补体测定（C4）</v>
      </c>
    </row>
    <row r="198" ht="13.5" spans="1:6">
      <c r="A198" t="s">
        <v>2322</v>
      </c>
      <c r="B198" s="14" t="s">
        <v>2566</v>
      </c>
      <c r="C198" t="str">
        <f t="shared" si="6"/>
        <v>SYWS250401023-2</v>
      </c>
      <c r="D198" t="s">
        <v>2323</v>
      </c>
      <c r="E198" s="8" t="s">
        <v>2567</v>
      </c>
      <c r="F198" t="str">
        <f t="shared" si="7"/>
        <v>（省院外送）免疫球蛋白定量测定（IgA）</v>
      </c>
    </row>
    <row r="199" ht="13.5" spans="1:6">
      <c r="A199" t="s">
        <v>2322</v>
      </c>
      <c r="B199" s="14" t="s">
        <v>2568</v>
      </c>
      <c r="C199" t="str">
        <f t="shared" si="6"/>
        <v>SYWS250401023-3</v>
      </c>
      <c r="D199" t="s">
        <v>2323</v>
      </c>
      <c r="E199" s="8" t="s">
        <v>2569</v>
      </c>
      <c r="F199" t="str">
        <f t="shared" si="7"/>
        <v>（省院外送）免疫球蛋白定量测定（IgG）</v>
      </c>
    </row>
    <row r="200" ht="13.5" spans="1:6">
      <c r="A200" t="s">
        <v>2322</v>
      </c>
      <c r="B200" s="14" t="s">
        <v>2570</v>
      </c>
      <c r="C200" t="str">
        <f t="shared" si="6"/>
        <v>SYWS250401023-4</v>
      </c>
      <c r="D200" t="s">
        <v>2323</v>
      </c>
      <c r="E200" s="8" t="s">
        <v>2571</v>
      </c>
      <c r="F200" t="str">
        <f t="shared" si="7"/>
        <v>（省院外送）免疫球蛋白定量测定（IgM）</v>
      </c>
    </row>
    <row r="201" ht="24" spans="1:6">
      <c r="A201" t="s">
        <v>2322</v>
      </c>
      <c r="B201" s="17" t="s">
        <v>2572</v>
      </c>
      <c r="C201" t="str">
        <f t="shared" si="6"/>
        <v>SYWS250403014-1</v>
      </c>
      <c r="D201" t="s">
        <v>2323</v>
      </c>
      <c r="E201" s="8" t="s">
        <v>2573</v>
      </c>
      <c r="F201" t="str">
        <f t="shared" si="7"/>
        <v>（省院外送）丙型肝炎抗体测定（Anti-HCV）(化学发光法加收)</v>
      </c>
    </row>
    <row r="202" ht="24" spans="1:6">
      <c r="A202" t="s">
        <v>2322</v>
      </c>
      <c r="B202" s="14" t="s">
        <v>2574</v>
      </c>
      <c r="C202" t="str">
        <f t="shared" si="6"/>
        <v>SYWS250402003-2</v>
      </c>
      <c r="D202" t="s">
        <v>2323</v>
      </c>
      <c r="E202" s="8" t="s">
        <v>2575</v>
      </c>
      <c r="F202" t="str">
        <f t="shared" si="7"/>
        <v>（省院外送）抗核提取物抗体测定(抗ENA抗体)（抗SSA）</v>
      </c>
    </row>
    <row r="203" ht="24" spans="1:6">
      <c r="A203" t="s">
        <v>2322</v>
      </c>
      <c r="B203" s="14" t="s">
        <v>2576</v>
      </c>
      <c r="C203" t="str">
        <f t="shared" si="6"/>
        <v>SYWS250402003-3</v>
      </c>
      <c r="D203" t="s">
        <v>2323</v>
      </c>
      <c r="E203" s="8" t="s">
        <v>2577</v>
      </c>
      <c r="F203" t="str">
        <f t="shared" si="7"/>
        <v>（省院外送）抗核提取物抗体测定(抗ENA抗体)（抗SSB）</v>
      </c>
    </row>
    <row r="204" ht="24" spans="1:6">
      <c r="A204" t="s">
        <v>2322</v>
      </c>
      <c r="B204" s="14" t="s">
        <v>2578</v>
      </c>
      <c r="C204" t="str">
        <f t="shared" si="6"/>
        <v>SYWS250402003-4</v>
      </c>
      <c r="D204" t="s">
        <v>2323</v>
      </c>
      <c r="E204" s="8" t="s">
        <v>2579</v>
      </c>
      <c r="F204" t="str">
        <f t="shared" si="7"/>
        <v>（省院外送）抗核提取物抗体测定(抗ENA抗体)（抗JO-1）</v>
      </c>
    </row>
    <row r="205" ht="24" spans="1:6">
      <c r="A205" t="s">
        <v>2322</v>
      </c>
      <c r="B205" s="14" t="s">
        <v>2580</v>
      </c>
      <c r="C205" t="str">
        <f t="shared" si="6"/>
        <v>SYWS250402003-5</v>
      </c>
      <c r="D205" t="s">
        <v>2323</v>
      </c>
      <c r="E205" s="8" t="s">
        <v>2581</v>
      </c>
      <c r="F205" t="str">
        <f t="shared" si="7"/>
        <v>（省院外送）抗核提取物抗体测定(抗ENA抗体)（抗Sm）</v>
      </c>
    </row>
    <row r="206" ht="24" spans="1:6">
      <c r="A206" t="s">
        <v>2322</v>
      </c>
      <c r="B206" s="14" t="s">
        <v>2582</v>
      </c>
      <c r="C206" t="str">
        <f t="shared" si="6"/>
        <v>SYWS250402003-6</v>
      </c>
      <c r="D206" t="s">
        <v>2323</v>
      </c>
      <c r="E206" s="8" t="s">
        <v>2583</v>
      </c>
      <c r="F206" t="str">
        <f t="shared" si="7"/>
        <v>（省院外送）抗核提取物抗体测定(抗ENA抗体)（抗nRNP）</v>
      </c>
    </row>
    <row r="207" ht="24" spans="1:6">
      <c r="A207" t="s">
        <v>2322</v>
      </c>
      <c r="B207" s="14" t="s">
        <v>2584</v>
      </c>
      <c r="C207" t="str">
        <f t="shared" si="6"/>
        <v>SYWS250402003-7</v>
      </c>
      <c r="D207" t="s">
        <v>2323</v>
      </c>
      <c r="E207" s="8" t="s">
        <v>2585</v>
      </c>
      <c r="F207" t="str">
        <f t="shared" si="7"/>
        <v>（省院外送）抗核提取物抗体测定(抗ENA抗体)（抗ScL-70）</v>
      </c>
    </row>
    <row r="208" ht="24" spans="1:6">
      <c r="A208" t="s">
        <v>2322</v>
      </c>
      <c r="B208" s="14" t="s">
        <v>2586</v>
      </c>
      <c r="C208" t="str">
        <f t="shared" si="6"/>
        <v>SYWS250402003-8</v>
      </c>
      <c r="D208" t="s">
        <v>2323</v>
      </c>
      <c r="E208" s="8" t="s">
        <v>2587</v>
      </c>
      <c r="F208" t="str">
        <f t="shared" si="7"/>
        <v>（省院外送）抗核提取物抗体测定(抗ENA抗体)（抗着丝点抗体）</v>
      </c>
    </row>
    <row r="209" ht="24" spans="1:6">
      <c r="A209" t="s">
        <v>2322</v>
      </c>
      <c r="B209" s="14" t="s">
        <v>2588</v>
      </c>
      <c r="C209" t="str">
        <f t="shared" si="6"/>
        <v>SYWS250402005-1</v>
      </c>
      <c r="D209" t="s">
        <v>2323</v>
      </c>
      <c r="E209" s="8" t="s">
        <v>2589</v>
      </c>
      <c r="F209" t="str">
        <f t="shared" si="7"/>
        <v>（省院外送）抗中性粒细胞胞浆抗体测定（ANCA）(cANCA)</v>
      </c>
    </row>
    <row r="210" ht="24" spans="1:6">
      <c r="A210" t="s">
        <v>2322</v>
      </c>
      <c r="B210" s="14" t="s">
        <v>2590</v>
      </c>
      <c r="C210" t="str">
        <f t="shared" si="6"/>
        <v>SYWS250402005-2</v>
      </c>
      <c r="D210" t="s">
        <v>2323</v>
      </c>
      <c r="E210" s="8" t="s">
        <v>2591</v>
      </c>
      <c r="F210" t="str">
        <f t="shared" si="7"/>
        <v>（省院外送）抗中性粒细胞胞浆抗体测定（ANCA）(pANCA)</v>
      </c>
    </row>
    <row r="211" ht="24" spans="1:6">
      <c r="A211" t="s">
        <v>2322</v>
      </c>
      <c r="B211" s="14" t="s">
        <v>2592</v>
      </c>
      <c r="C211" t="str">
        <f t="shared" si="6"/>
        <v>SYWS250402005-3</v>
      </c>
      <c r="D211" t="s">
        <v>2323</v>
      </c>
      <c r="E211" s="8" t="s">
        <v>2593</v>
      </c>
      <c r="F211" t="str">
        <f t="shared" si="7"/>
        <v>（省院外送）抗中性粒细胞胞浆抗体测定（ANCA）(PR3-ANCA)</v>
      </c>
    </row>
    <row r="212" ht="24" spans="1:6">
      <c r="A212" t="s">
        <v>2322</v>
      </c>
      <c r="B212" s="14" t="s">
        <v>2594</v>
      </c>
      <c r="C212" t="str">
        <f t="shared" si="6"/>
        <v>SYWS250402005-4</v>
      </c>
      <c r="D212" t="s">
        <v>2323</v>
      </c>
      <c r="E212" s="8" t="s">
        <v>2595</v>
      </c>
      <c r="F212" t="str">
        <f t="shared" si="7"/>
        <v>（省院外送）抗中性粒细胞胞浆抗体测定（ANCA）(MPO-ANCA)</v>
      </c>
    </row>
    <row r="213" ht="24" spans="1:6">
      <c r="A213" t="s">
        <v>2322</v>
      </c>
      <c r="B213" s="14" t="s">
        <v>2596</v>
      </c>
      <c r="C213" t="str">
        <f t="shared" si="6"/>
        <v>SYWS250402014-2</v>
      </c>
      <c r="D213" t="s">
        <v>2323</v>
      </c>
      <c r="E213" s="8" t="s">
        <v>2597</v>
      </c>
      <c r="F213" t="str">
        <f t="shared" si="7"/>
        <v>（省院外送）抗组织细胞抗体测定（胃壁细胞抗体）</v>
      </c>
    </row>
    <row r="214" ht="24" spans="1:6">
      <c r="A214" t="s">
        <v>2322</v>
      </c>
      <c r="B214" s="14" t="s">
        <v>2598</v>
      </c>
      <c r="C214" t="str">
        <f t="shared" si="6"/>
        <v>SYWS250402014-3</v>
      </c>
      <c r="D214" t="s">
        <v>2323</v>
      </c>
      <c r="E214" s="8" t="s">
        <v>2599</v>
      </c>
      <c r="F214" t="str">
        <f t="shared" si="7"/>
        <v>（省院外送）抗组织细胞抗体测定（胰岛细胞抗体）</v>
      </c>
    </row>
    <row r="215" ht="13.5" spans="1:6">
      <c r="A215" t="s">
        <v>2322</v>
      </c>
      <c r="B215" s="14" t="s">
        <v>2600</v>
      </c>
      <c r="C215" t="str">
        <f t="shared" si="6"/>
        <v>SYWS250402014-6</v>
      </c>
      <c r="D215" t="s">
        <v>2323</v>
      </c>
      <c r="E215" s="8" t="s">
        <v>2601</v>
      </c>
      <c r="F215" t="str">
        <f t="shared" si="7"/>
        <v>（省院外送）抗组织细胞抗体测定（平滑肌抗体）</v>
      </c>
    </row>
    <row r="216" ht="13.5" spans="1:6">
      <c r="A216" t="s">
        <v>2322</v>
      </c>
      <c r="B216" s="14" t="s">
        <v>2602</v>
      </c>
      <c r="C216" t="str">
        <f t="shared" si="6"/>
        <v>SYWS250402016-1</v>
      </c>
      <c r="D216" t="s">
        <v>2323</v>
      </c>
      <c r="E216" s="8" t="s">
        <v>2603</v>
      </c>
      <c r="F216" t="str">
        <f t="shared" si="7"/>
        <v>（省院外送）抗心磷脂抗体测定(ACA)（IgA）</v>
      </c>
    </row>
    <row r="217" ht="13.5" spans="1:6">
      <c r="A217" t="s">
        <v>2322</v>
      </c>
      <c r="B217" s="14" t="s">
        <v>2604</v>
      </c>
      <c r="C217" t="str">
        <f t="shared" si="6"/>
        <v>SYWS250402016-2</v>
      </c>
      <c r="D217" t="s">
        <v>2323</v>
      </c>
      <c r="E217" s="8" t="s">
        <v>2605</v>
      </c>
      <c r="F217" t="str">
        <f t="shared" si="7"/>
        <v>（省院外送）抗心磷脂抗体测定(ACA)（IgM）</v>
      </c>
    </row>
    <row r="218" ht="13.5" spans="1:6">
      <c r="A218" t="s">
        <v>2322</v>
      </c>
      <c r="B218" s="14" t="s">
        <v>2606</v>
      </c>
      <c r="C218" t="str">
        <f t="shared" si="6"/>
        <v>SYWS250402016-3</v>
      </c>
      <c r="D218" t="s">
        <v>2323</v>
      </c>
      <c r="E218" s="8" t="s">
        <v>2607</v>
      </c>
      <c r="F218" t="str">
        <f t="shared" si="7"/>
        <v>（省院外送）抗心磷脂抗体测定(ACA)（IgG）</v>
      </c>
    </row>
    <row r="219" ht="24" spans="1:6">
      <c r="A219" t="s">
        <v>2322</v>
      </c>
      <c r="B219" s="9" t="s">
        <v>2608</v>
      </c>
      <c r="C219" t="str">
        <f t="shared" si="6"/>
        <v>SYWS250402017-2</v>
      </c>
      <c r="D219" t="s">
        <v>2323</v>
      </c>
      <c r="E219" s="8" t="s">
        <v>2609</v>
      </c>
      <c r="F219" t="str">
        <f t="shared" si="7"/>
        <v>（省院外送）抗甲状腺球蛋白抗体测定(TGAb)（化学发光法加收）</v>
      </c>
    </row>
    <row r="220" ht="24" spans="1:6">
      <c r="A220" t="s">
        <v>2322</v>
      </c>
      <c r="B220" s="9" t="s">
        <v>2610</v>
      </c>
      <c r="C220" t="str">
        <f t="shared" si="6"/>
        <v>SYWS250402019-1</v>
      </c>
      <c r="D220" t="s">
        <v>2323</v>
      </c>
      <c r="E220" s="8" t="s">
        <v>2611</v>
      </c>
      <c r="F220" t="str">
        <f t="shared" si="7"/>
        <v>（省院外送）抗肾小球基底膜抗体测定(各种免疫学方法加收)</v>
      </c>
    </row>
    <row r="221" ht="24" spans="1:6">
      <c r="A221" t="s">
        <v>2322</v>
      </c>
      <c r="B221" s="9" t="s">
        <v>2612</v>
      </c>
      <c r="C221" t="str">
        <f t="shared" si="6"/>
        <v>SYWS250403004-1</v>
      </c>
      <c r="D221" t="s">
        <v>2323</v>
      </c>
      <c r="E221" s="8" t="s">
        <v>2613</v>
      </c>
      <c r="F221" t="str">
        <f t="shared" si="7"/>
        <v>（省院外送）乙型肝炎表面抗原测定(HBsAg)(定量分析加收)</v>
      </c>
    </row>
    <row r="222" ht="24" spans="1:6">
      <c r="A222" t="s">
        <v>2322</v>
      </c>
      <c r="B222" s="9" t="s">
        <v>2614</v>
      </c>
      <c r="C222" t="str">
        <f t="shared" si="6"/>
        <v>SYWS250403005-1</v>
      </c>
      <c r="D222" t="s">
        <v>2323</v>
      </c>
      <c r="E222" s="8" t="s">
        <v>2615</v>
      </c>
      <c r="F222" t="str">
        <f t="shared" si="7"/>
        <v>（省院外送）乙型肝炎表面抗体测定（Anti-HBs）（定量分析加收）</v>
      </c>
    </row>
    <row r="223" ht="24" spans="1:6">
      <c r="A223" t="s">
        <v>2322</v>
      </c>
      <c r="B223" s="14" t="s">
        <v>2616</v>
      </c>
      <c r="C223" t="str">
        <f t="shared" si="6"/>
        <v>SYWS250403017-1</v>
      </c>
      <c r="D223" t="s">
        <v>2323</v>
      </c>
      <c r="E223" s="8" t="s">
        <v>2617</v>
      </c>
      <c r="F223" t="str">
        <f t="shared" si="7"/>
        <v>（省院外送）戊型肝炎抗体测定（Anti-HEV）(各种免疫学方法)</v>
      </c>
    </row>
    <row r="224" ht="24" spans="1:6">
      <c r="A224" t="s">
        <v>2322</v>
      </c>
      <c r="B224" s="9" t="s">
        <v>2618</v>
      </c>
      <c r="C224" t="str">
        <f t="shared" si="6"/>
        <v>SYWS250403019-3</v>
      </c>
      <c r="D224" t="s">
        <v>2323</v>
      </c>
      <c r="E224" s="8" t="s">
        <v>2619</v>
      </c>
      <c r="F224" t="str">
        <f t="shared" si="7"/>
        <v>（省院外送）人免疫缺陷病毒抗体测定（Anti-HIV）（化学发光法加收)</v>
      </c>
    </row>
    <row r="225" ht="13.5" spans="1:6">
      <c r="A225" t="s">
        <v>2322</v>
      </c>
      <c r="B225" s="14" t="s">
        <v>2620</v>
      </c>
      <c r="C225" t="str">
        <f t="shared" si="6"/>
        <v>SYWS250403020-1</v>
      </c>
      <c r="D225" t="s">
        <v>2323</v>
      </c>
      <c r="E225" s="8" t="s">
        <v>2621</v>
      </c>
      <c r="F225" t="str">
        <f t="shared" si="7"/>
        <v>（省院外送）弓形体抗体测定(各种免疫学方法)</v>
      </c>
    </row>
    <row r="226" ht="13.5" spans="1:6">
      <c r="A226" t="s">
        <v>2322</v>
      </c>
      <c r="B226" s="14" t="s">
        <v>2622</v>
      </c>
      <c r="C226" t="str">
        <f t="shared" si="6"/>
        <v>SYWS250403021-1</v>
      </c>
      <c r="D226" t="s">
        <v>2323</v>
      </c>
      <c r="E226" s="8" t="s">
        <v>2623</v>
      </c>
      <c r="F226" t="str">
        <f t="shared" si="7"/>
        <v>（省院外送）风疹病毒抗体测定(各种免疫学方法)</v>
      </c>
    </row>
    <row r="227" ht="24" spans="1:6">
      <c r="A227" t="s">
        <v>2322</v>
      </c>
      <c r="B227" s="14" t="s">
        <v>2624</v>
      </c>
      <c r="C227" t="str">
        <f t="shared" si="6"/>
        <v>SYWS250403023-1</v>
      </c>
      <c r="D227" t="s">
        <v>2323</v>
      </c>
      <c r="E227" s="8" t="s">
        <v>2625</v>
      </c>
      <c r="F227" t="str">
        <f t="shared" si="7"/>
        <v>（省院外送）单纯疱疹病毒抗体测定(各种免疫学方法)</v>
      </c>
    </row>
    <row r="228" ht="13.5" spans="1:6">
      <c r="A228" t="s">
        <v>2322</v>
      </c>
      <c r="B228" s="14" t="s">
        <v>2626</v>
      </c>
      <c r="C228" t="str">
        <f t="shared" si="6"/>
        <v>SYWS250403025-1</v>
      </c>
      <c r="D228" t="s">
        <v>2323</v>
      </c>
      <c r="E228" s="8" t="s">
        <v>2627</v>
      </c>
      <c r="F228" t="str">
        <f t="shared" si="7"/>
        <v>（省院外送）EB病毒抗体测定(各种免疫学方法)</v>
      </c>
    </row>
    <row r="229" ht="13.5" spans="1:6">
      <c r="A229" t="s">
        <v>2322</v>
      </c>
      <c r="B229" s="14" t="s">
        <v>2628</v>
      </c>
      <c r="C229" t="str">
        <f t="shared" si="6"/>
        <v>SYWS250403025-4</v>
      </c>
      <c r="D229" t="s">
        <v>2323</v>
      </c>
      <c r="E229" s="8" t="s">
        <v>2629</v>
      </c>
      <c r="F229" t="str">
        <f t="shared" si="7"/>
        <v>（省院外送）EB病毒抗体测定(IgA)</v>
      </c>
    </row>
    <row r="230" ht="13.5" spans="1:6">
      <c r="A230" t="s">
        <v>2322</v>
      </c>
      <c r="B230" s="14" t="s">
        <v>2630</v>
      </c>
      <c r="C230" t="str">
        <f t="shared" si="6"/>
        <v>SYWS250403042-2</v>
      </c>
      <c r="D230" t="s">
        <v>2323</v>
      </c>
      <c r="E230" s="8" t="s">
        <v>2631</v>
      </c>
      <c r="F230" t="str">
        <f t="shared" si="7"/>
        <v>（省院外送）细菌抗体测定（结核杆菌）</v>
      </c>
    </row>
    <row r="231" ht="13.5" spans="1:6">
      <c r="A231" t="s">
        <v>2322</v>
      </c>
      <c r="B231" s="14" t="s">
        <v>2632</v>
      </c>
      <c r="C231" t="str">
        <f t="shared" si="6"/>
        <v>SYWS250403042-5</v>
      </c>
      <c r="D231" t="s">
        <v>2323</v>
      </c>
      <c r="E231" s="8" t="s">
        <v>2633</v>
      </c>
      <c r="F231" t="str">
        <f t="shared" si="7"/>
        <v>（省院外送）细菌抗体测定（军团菌）</v>
      </c>
    </row>
    <row r="232" ht="24" spans="1:6">
      <c r="A232" t="s">
        <v>2322</v>
      </c>
      <c r="B232" s="9" t="s">
        <v>2634</v>
      </c>
      <c r="C232" t="str">
        <f t="shared" si="6"/>
        <v>SYWS250403053-3</v>
      </c>
      <c r="D232" t="s">
        <v>2323</v>
      </c>
      <c r="E232" s="8" t="s">
        <v>2635</v>
      </c>
      <c r="F232" t="str">
        <f t="shared" si="7"/>
        <v>（省院外送）梅毒螺旋体特异抗体测定（化学发光法加收）</v>
      </c>
    </row>
    <row r="233" ht="24" spans="1:6">
      <c r="A233" t="s">
        <v>2322</v>
      </c>
      <c r="B233" s="9" t="s">
        <v>2636</v>
      </c>
      <c r="C233" t="str">
        <f t="shared" si="6"/>
        <v>SYWS250404001-1</v>
      </c>
      <c r="D233" t="s">
        <v>2323</v>
      </c>
      <c r="E233" s="8" t="s">
        <v>2637</v>
      </c>
      <c r="F233" t="str">
        <f t="shared" si="7"/>
        <v>（省院外送）癌胚抗原测定（CEA）（化学发光法加收）</v>
      </c>
    </row>
    <row r="234" ht="24" spans="1:6">
      <c r="A234" t="s">
        <v>2322</v>
      </c>
      <c r="B234" s="9" t="s">
        <v>2638</v>
      </c>
      <c r="C234" t="str">
        <f t="shared" si="6"/>
        <v>SYWS250404002-1</v>
      </c>
      <c r="D234" t="s">
        <v>2323</v>
      </c>
      <c r="E234" s="8" t="s">
        <v>2639</v>
      </c>
      <c r="F234" t="str">
        <f t="shared" si="7"/>
        <v>（省院外送）甲胎蛋白测定（AFP）（化学发光法加收）</v>
      </c>
    </row>
    <row r="235" ht="24" spans="1:6">
      <c r="A235" t="s">
        <v>2322</v>
      </c>
      <c r="B235" s="9" t="s">
        <v>2640</v>
      </c>
      <c r="C235" t="str">
        <f t="shared" si="6"/>
        <v>SYWS250404005-1</v>
      </c>
      <c r="D235" t="s">
        <v>2323</v>
      </c>
      <c r="E235" s="8" t="s">
        <v>2641</v>
      </c>
      <c r="F235" t="str">
        <f t="shared" si="7"/>
        <v>（省院外送）总前列腺特异性抗原测定（TPSA）（化学发光法加收）</v>
      </c>
    </row>
    <row r="236" ht="24" spans="1:6">
      <c r="A236" t="s">
        <v>2322</v>
      </c>
      <c r="B236" s="9" t="s">
        <v>2642</v>
      </c>
      <c r="C236" t="str">
        <f t="shared" si="6"/>
        <v>SYWS250404006-1</v>
      </c>
      <c r="D236" t="s">
        <v>2323</v>
      </c>
      <c r="E236" s="8" t="s">
        <v>2643</v>
      </c>
      <c r="F236" t="str">
        <f t="shared" si="7"/>
        <v>（省院外送）游离前列腺特异性抗原测定（FPSA）（化学发光法加收）</v>
      </c>
    </row>
    <row r="237" ht="24" spans="1:6">
      <c r="A237" t="s">
        <v>2322</v>
      </c>
      <c r="B237" s="9" t="s">
        <v>2644</v>
      </c>
      <c r="C237" t="str">
        <f t="shared" si="6"/>
        <v>SYWS250404009-1</v>
      </c>
      <c r="D237" t="s">
        <v>2323</v>
      </c>
      <c r="E237" s="8" t="s">
        <v>2645</v>
      </c>
      <c r="F237" t="str">
        <f t="shared" si="7"/>
        <v>（省院外送）神经元特异性烯醇化酶测定（NSE）（化学发光法加收）</v>
      </c>
    </row>
    <row r="238" ht="24" spans="1:6">
      <c r="A238" t="s">
        <v>2322</v>
      </c>
      <c r="B238" s="9" t="s">
        <v>2646</v>
      </c>
      <c r="C238" t="str">
        <f t="shared" si="6"/>
        <v>SYWS250404010-1</v>
      </c>
      <c r="D238" t="s">
        <v>2323</v>
      </c>
      <c r="E238" s="8" t="s">
        <v>2647</v>
      </c>
      <c r="F238" t="str">
        <f t="shared" si="7"/>
        <v>（省院外送）细胞角蛋白19片段测定（CYFRA21-1）（化学发光法加收）</v>
      </c>
    </row>
    <row r="239" ht="13.5" spans="1:6">
      <c r="A239" t="s">
        <v>2322</v>
      </c>
      <c r="B239" s="9" t="s">
        <v>2648</v>
      </c>
      <c r="C239" t="str">
        <f t="shared" si="6"/>
        <v>SYWS250404011-1</v>
      </c>
      <c r="D239" t="s">
        <v>2323</v>
      </c>
      <c r="E239" s="8" t="s">
        <v>2649</v>
      </c>
      <c r="F239" t="str">
        <f t="shared" si="7"/>
        <v>（省院外送）糖类抗原测定（化学发光法加收）</v>
      </c>
    </row>
    <row r="240" ht="24" spans="1:6">
      <c r="A240" t="s">
        <v>2322</v>
      </c>
      <c r="B240" s="9" t="s">
        <v>2650</v>
      </c>
      <c r="C240" t="str">
        <f t="shared" si="6"/>
        <v>SYWS250404012-1</v>
      </c>
      <c r="D240" t="s">
        <v>2323</v>
      </c>
      <c r="E240" s="8" t="s">
        <v>2651</v>
      </c>
      <c r="F240" t="str">
        <f t="shared" si="7"/>
        <v>（省院外送）鳞状细胞癌相关抗原测定（SCC）（化学发光法加收）</v>
      </c>
    </row>
    <row r="241" ht="24" spans="1:6">
      <c r="A241" t="s">
        <v>2322</v>
      </c>
      <c r="B241" s="9" t="s">
        <v>2652</v>
      </c>
      <c r="C241" t="str">
        <f t="shared" si="6"/>
        <v>SYWS250503013-1</v>
      </c>
      <c r="D241" t="s">
        <v>2323</v>
      </c>
      <c r="E241" s="8" t="s">
        <v>2653</v>
      </c>
      <c r="F241" t="str">
        <f t="shared" si="7"/>
        <v>（省院外送）高精度病毒载量分析（HIV（要求实际灵敏度达到20copies/mL）加收）</v>
      </c>
    </row>
    <row r="242" ht="24" spans="1:6">
      <c r="A242" t="s">
        <v>2322</v>
      </c>
      <c r="B242" s="9" t="s">
        <v>2654</v>
      </c>
      <c r="C242" t="str">
        <f t="shared" si="6"/>
        <v>SYWS250700010-1</v>
      </c>
      <c r="D242" t="s">
        <v>2323</v>
      </c>
      <c r="E242" s="8" t="s">
        <v>2655</v>
      </c>
      <c r="F242" t="str">
        <f t="shared" si="7"/>
        <v>（省院外送）唐氏综合症筛查（同时查神经管缺陷加收）</v>
      </c>
    </row>
    <row r="243" ht="24" spans="1:6">
      <c r="A243" t="s">
        <v>2322</v>
      </c>
      <c r="B243" s="9" t="s">
        <v>2656</v>
      </c>
      <c r="C243" t="str">
        <f t="shared" si="6"/>
        <v>SYWS250700010-2</v>
      </c>
      <c r="D243" t="s">
        <v>2323</v>
      </c>
      <c r="E243" s="8" t="s">
        <v>2657</v>
      </c>
      <c r="F243" t="str">
        <f t="shared" si="7"/>
        <v>（省院外送）唐氏综合症筛查（查18—3体综合症加收）</v>
      </c>
    </row>
    <row r="244" ht="24" spans="1:6">
      <c r="A244" t="s">
        <v>2322</v>
      </c>
      <c r="B244" s="9" t="s">
        <v>2658</v>
      </c>
      <c r="C244" t="str">
        <f t="shared" si="6"/>
        <v>SYWS250700014-3</v>
      </c>
      <c r="D244" t="s">
        <v>2323</v>
      </c>
      <c r="E244" s="8" t="s">
        <v>2659</v>
      </c>
      <c r="F244" t="str">
        <f t="shared" si="7"/>
        <v>（省院外送）羊水、绒毛细胞培养（外周血细胞培养）</v>
      </c>
    </row>
    <row r="245" ht="24" spans="1:6">
      <c r="A245" t="s">
        <v>2322</v>
      </c>
      <c r="B245" s="9" t="s">
        <v>2660</v>
      </c>
      <c r="C245" t="str">
        <f t="shared" si="6"/>
        <v>SYWS260000023-1</v>
      </c>
      <c r="D245" t="s">
        <v>2323</v>
      </c>
      <c r="E245" s="8" t="s">
        <v>2661</v>
      </c>
      <c r="F245" t="str">
        <f t="shared" si="7"/>
        <v>（省院外送）人组织相容性抗原II类（HLA-II）分型(基因配型加收)</v>
      </c>
    </row>
    <row r="246" ht="13.5" spans="1:6">
      <c r="A246" t="s">
        <v>2322</v>
      </c>
      <c r="B246" s="14" t="s">
        <v>2662</v>
      </c>
      <c r="C246" t="str">
        <f t="shared" si="6"/>
        <v>SYWSCEBB1000</v>
      </c>
      <c r="D246" t="s">
        <v>2323</v>
      </c>
      <c r="E246" s="8" t="s">
        <v>2663</v>
      </c>
      <c r="F246" t="str">
        <f t="shared" si="7"/>
        <v>（省院外送）糖化白蛋白（GA）测定</v>
      </c>
    </row>
    <row r="247" ht="24" spans="1:6">
      <c r="A247" t="s">
        <v>2322</v>
      </c>
      <c r="B247" s="14" t="s">
        <v>2664</v>
      </c>
      <c r="C247" t="str">
        <f t="shared" si="6"/>
        <v>SYWSCGQI1000</v>
      </c>
      <c r="D247" t="s">
        <v>2323</v>
      </c>
      <c r="E247" s="8" t="s">
        <v>2665</v>
      </c>
      <c r="F247" t="str">
        <f t="shared" si="7"/>
        <v>（省院外送）结核感染T细胞γ干扰素释放实验（TB-IGRA）</v>
      </c>
    </row>
    <row r="248" ht="13.5" spans="1:6">
      <c r="A248" t="s">
        <v>2322</v>
      </c>
      <c r="B248" s="14" t="s">
        <v>2666</v>
      </c>
      <c r="C248" t="str">
        <f t="shared" si="6"/>
        <v>SYWSCGSE1000</v>
      </c>
      <c r="D248" t="s">
        <v>2323</v>
      </c>
      <c r="E248" s="8" t="s">
        <v>2667</v>
      </c>
      <c r="F248" t="str">
        <f t="shared" si="7"/>
        <v>（省院外送）人附睾分泌蛋白（HE4）测定</v>
      </c>
    </row>
    <row r="249" spans="1:6">
      <c r="B249" s="5"/>
      <c r="E249" s="5"/>
    </row>
    <row r="250" spans="1:6">
      <c r="B250" s="18"/>
      <c r="E250" s="18"/>
    </row>
    <row r="251" spans="1:6">
      <c r="B251" s="19"/>
      <c r="E251" s="20"/>
    </row>
  </sheetData>
  <conditionalFormatting sqref="B109">
    <cfRule type="duplicateValues" dxfId="0" priority="2"/>
  </conditionalFormatting>
  <conditionalFormatting sqref="B144">
    <cfRule type="duplicateValues" dxfId="0" priority="3"/>
  </conditionalFormatting>
  <conditionalFormatting sqref="B154">
    <cfRule type="duplicateValues" dxfId="0" priority="4"/>
  </conditionalFormatting>
  <conditionalFormatting sqref="B155">
    <cfRule type="duplicateValues" dxfId="0" priority="5"/>
  </conditionalFormatting>
  <conditionalFormatting sqref="B156">
    <cfRule type="duplicateValues" dxfId="0" priority="6"/>
  </conditionalFormatting>
  <conditionalFormatting sqref="B157">
    <cfRule type="duplicateValues" dxfId="0" priority="7"/>
  </conditionalFormatting>
  <conditionalFormatting sqref="B159">
    <cfRule type="duplicateValues" dxfId="0" priority="8"/>
  </conditionalFormatting>
  <conditionalFormatting sqref="B160">
    <cfRule type="duplicateValues" dxfId="0" priority="9"/>
  </conditionalFormatting>
  <conditionalFormatting sqref="B163">
    <cfRule type="duplicateValues" dxfId="0" priority="10"/>
  </conditionalFormatting>
  <conditionalFormatting sqref="B164">
    <cfRule type="duplicateValues" dxfId="0" priority="11"/>
  </conditionalFormatting>
  <conditionalFormatting sqref="B179">
    <cfRule type="duplicateValues" dxfId="0" priority="12"/>
  </conditionalFormatting>
  <conditionalFormatting sqref="B180">
    <cfRule type="duplicateValues" dxfId="0" priority="13"/>
  </conditionalFormatting>
  <conditionalFormatting sqref="B181">
    <cfRule type="duplicateValues" dxfId="0" priority="14"/>
  </conditionalFormatting>
  <conditionalFormatting sqref="B182">
    <cfRule type="duplicateValues" dxfId="0" priority="15"/>
  </conditionalFormatting>
  <conditionalFormatting sqref="B183">
    <cfRule type="duplicateValues" dxfId="0" priority="16"/>
  </conditionalFormatting>
  <conditionalFormatting sqref="B184">
    <cfRule type="duplicateValues" dxfId="0" priority="17"/>
  </conditionalFormatting>
  <conditionalFormatting sqref="B185">
    <cfRule type="duplicateValues" dxfId="0" priority="18"/>
  </conditionalFormatting>
  <conditionalFormatting sqref="B195">
    <cfRule type="duplicateValues" dxfId="0" priority="19"/>
  </conditionalFormatting>
  <conditionalFormatting sqref="B200">
    <cfRule type="duplicateValues" dxfId="0" priority="20"/>
  </conditionalFormatting>
  <conditionalFormatting sqref="B228">
    <cfRule type="duplicateValues" dxfId="0" priority="21"/>
  </conditionalFormatting>
  <conditionalFormatting sqref="B241">
    <cfRule type="duplicateValues" dxfId="0" priority="22"/>
  </conditionalFormatting>
  <conditionalFormatting sqref="B244">
    <cfRule type="duplicateValues" dxfId="0" priority="23"/>
  </conditionalFormatting>
  <conditionalFormatting sqref="B5:B100 B113:B133 B147:B148 B161:B162 B165:B178 B186:B191 B198:B199 B201:B225 B245:B248">
    <cfRule type="duplicateValues" dxfId="0" priority="24"/>
  </conditionalFormatting>
  <conditionalFormatting sqref="B101:B108 B110:B112">
    <cfRule type="duplicateValues" dxfId="0" priority="25"/>
  </conditionalFormatting>
  <conditionalFormatting sqref="B134:B135 B137 B141:B143 B145:B146">
    <cfRule type="duplicateValues" dxfId="0" priority="26"/>
  </conditionalFormatting>
  <conditionalFormatting sqref="B149:B153 B158">
    <cfRule type="duplicateValues" dxfId="0" priority="27"/>
  </conditionalFormatting>
  <conditionalFormatting sqref="B192:B194 B196:B197">
    <cfRule type="duplicateValues" dxfId="0" priority="28"/>
  </conditionalFormatting>
  <conditionalFormatting sqref="B226:B227 B229:B240 B242:B243">
    <cfRule type="duplicateValues" dxfId="0" priority="29"/>
  </conditionalFormatting>
  <pageMargins left="0.75" right="0.75" top="1" bottom="1"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Application>LibreOfficeDev/7.3.1.3.0$Android_AARCH64 LibreOffice_project/</Application>
  <HeadingPairs>
    <vt:vector size="2" baseType="variant">
      <vt:variant>
        <vt:lpstr>工作表</vt:lpstr>
      </vt:variant>
      <vt:variant>
        <vt:i4>2</vt:i4>
      </vt:variant>
    </vt:vector>
  </HeadingPairs>
  <TitlesOfParts>
    <vt:vector size="2" baseType="lpstr">
      <vt:lpstr>公示</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云豆</cp:lastModifiedBy>
  <cp:revision>1</cp:revision>
  <dcterms:created xsi:type="dcterms:W3CDTF">2006-09-13T11:21:00Z</dcterms:created>
  <dcterms:modified xsi:type="dcterms:W3CDTF">2026-10-28T03:28:54Z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19B4ABC239074222B718CCEDFF88F711_13</vt:lpwstr>
  </property>
  <property fmtid="{D5CDD505-2E9C-101B-9397-08002B2CF9AE}" pid="4" name="KSOProductBuildVer">
    <vt:lpwstr>2052-12.1.0.29161</vt:lpwstr>
  </property>
</Properties>
</file>